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240" windowHeight="8010" activeTab="2"/>
  </bookViews>
  <sheets>
    <sheet name="TP1" sheetId="4" r:id="rId1"/>
    <sheet name="TP2" sheetId="2" r:id="rId2"/>
    <sheet name="TP3" sheetId="5" r:id="rId3"/>
    <sheet name="TP4" sheetId="6" r:id="rId4"/>
    <sheet name="TP5" sheetId="3" r:id="rId5"/>
    <sheet name="TP6" sheetId="1" r:id="rId6"/>
    <sheet name="TP7" sheetId="7" r:id="rId7"/>
    <sheet name="TP8" sheetId="15" r:id="rId8"/>
    <sheet name="TP9" sheetId="8" r:id="rId9"/>
    <sheet name="TP10" sheetId="9" r:id="rId10"/>
    <sheet name="TP11" sheetId="11" r:id="rId11"/>
    <sheet name="TP12" sheetId="12" r:id="rId12"/>
    <sheet name="TP13" sheetId="13" r:id="rId13"/>
    <sheet name="TP14" sheetId="14" r:id="rId14"/>
    <sheet name="Sheet1" sheetId="16" r:id="rId15"/>
  </sheets>
  <calcPr calcId="144525"/>
</workbook>
</file>

<file path=xl/calcChain.xml><?xml version="1.0" encoding="utf-8"?>
<calcChain xmlns="http://schemas.openxmlformats.org/spreadsheetml/2006/main">
  <c r="C9" i="16" l="1"/>
  <c r="A9" i="16"/>
  <c r="F5" i="13" l="1"/>
  <c r="F6" i="13"/>
  <c r="F7" i="13"/>
  <c r="F8" i="13"/>
  <c r="F9" i="13"/>
  <c r="F10" i="13"/>
  <c r="F4" i="13"/>
  <c r="E5" i="13"/>
  <c r="E6" i="13"/>
  <c r="E7" i="13"/>
  <c r="E8" i="13"/>
  <c r="E9" i="13"/>
  <c r="E10" i="13"/>
  <c r="E4" i="13"/>
  <c r="C22" i="14"/>
  <c r="D22" i="14"/>
  <c r="E22" i="14"/>
  <c r="B22" i="14"/>
  <c r="C21" i="14"/>
  <c r="D21" i="14"/>
  <c r="E21" i="14"/>
  <c r="B21" i="14"/>
  <c r="C20" i="14"/>
  <c r="D20" i="14"/>
  <c r="E20" i="14"/>
  <c r="B20" i="14"/>
  <c r="C19" i="14"/>
  <c r="D19" i="14"/>
  <c r="E19" i="14"/>
  <c r="B19" i="14"/>
  <c r="C18" i="14"/>
  <c r="D18" i="14"/>
  <c r="E18" i="14"/>
  <c r="B18" i="14"/>
  <c r="C17" i="14"/>
  <c r="D17" i="14"/>
  <c r="E17" i="14"/>
  <c r="B17" i="14"/>
  <c r="C16" i="14"/>
  <c r="D16" i="14"/>
  <c r="E16" i="14"/>
  <c r="B16" i="14"/>
  <c r="C15" i="14"/>
  <c r="D15" i="14"/>
  <c r="E15" i="14"/>
  <c r="B15" i="14"/>
  <c r="C14" i="14"/>
  <c r="D14" i="14"/>
  <c r="E14" i="14"/>
  <c r="B14" i="14"/>
  <c r="D3" i="12"/>
  <c r="D4" i="12"/>
  <c r="D5" i="12"/>
  <c r="D6" i="12"/>
  <c r="D2" i="12"/>
  <c r="D3" i="11"/>
  <c r="D4" i="11"/>
  <c r="D5" i="11"/>
  <c r="D6" i="11"/>
  <c r="D7" i="11"/>
  <c r="D8" i="11"/>
  <c r="D9" i="11"/>
  <c r="D2" i="11"/>
  <c r="F3" i="9"/>
  <c r="F4" i="9"/>
  <c r="F5" i="9"/>
  <c r="F6" i="9"/>
  <c r="F7" i="9"/>
  <c r="F8" i="9"/>
  <c r="F9" i="9"/>
  <c r="F2" i="9"/>
  <c r="E3" i="9"/>
  <c r="E4" i="9"/>
  <c r="E5" i="9"/>
  <c r="E6" i="9"/>
  <c r="E7" i="9"/>
  <c r="E8" i="9"/>
  <c r="E9" i="9"/>
  <c r="E2" i="9"/>
  <c r="D3" i="9"/>
  <c r="D4" i="9"/>
  <c r="D5" i="9"/>
  <c r="D6" i="9"/>
  <c r="D7" i="9"/>
  <c r="D8" i="9"/>
  <c r="D9" i="9"/>
  <c r="D2" i="9"/>
  <c r="C3" i="8"/>
  <c r="C4" i="8"/>
  <c r="C5" i="8"/>
  <c r="C6" i="8"/>
  <c r="C2" i="8"/>
  <c r="C6" i="15"/>
  <c r="C5" i="15"/>
  <c r="C4" i="15"/>
  <c r="C3" i="15"/>
  <c r="C2" i="15"/>
  <c r="D3" i="7"/>
  <c r="D4" i="7"/>
  <c r="D5" i="7"/>
  <c r="D6" i="7"/>
  <c r="D7" i="7"/>
  <c r="D8" i="7"/>
  <c r="D2" i="7"/>
  <c r="C3" i="7"/>
  <c r="C4" i="7"/>
  <c r="C5" i="7"/>
  <c r="C6" i="7"/>
  <c r="C7" i="7"/>
  <c r="C8" i="7"/>
  <c r="C2" i="7"/>
  <c r="I11" i="3"/>
  <c r="E11" i="3"/>
  <c r="E12" i="3"/>
  <c r="G7" i="3"/>
  <c r="G8" i="3"/>
  <c r="G9" i="3"/>
  <c r="G10" i="3"/>
  <c r="F7" i="3"/>
  <c r="F8" i="3"/>
  <c r="F9" i="3"/>
  <c r="F10" i="3"/>
  <c r="D11" i="3"/>
  <c r="C11" i="3"/>
  <c r="B11" i="3"/>
  <c r="E7" i="3"/>
  <c r="E8" i="3"/>
  <c r="E9" i="3"/>
  <c r="E10" i="3"/>
  <c r="C7" i="6"/>
  <c r="D7" i="6"/>
  <c r="E7" i="6"/>
  <c r="F7" i="6"/>
  <c r="G7" i="6"/>
  <c r="H7" i="6"/>
  <c r="I7" i="6"/>
  <c r="C8" i="6"/>
  <c r="J8" i="6" s="1"/>
  <c r="D8" i="6"/>
  <c r="E8" i="6"/>
  <c r="F8" i="6"/>
  <c r="G8" i="6"/>
  <c r="H8" i="6"/>
  <c r="I8" i="6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B13" i="6"/>
  <c r="F13" i="6"/>
  <c r="J9" i="6" l="1"/>
  <c r="J12" i="6"/>
  <c r="J10" i="6"/>
  <c r="J11" i="6"/>
  <c r="H13" i="6"/>
  <c r="D13" i="6"/>
  <c r="J7" i="6"/>
  <c r="G13" i="6"/>
  <c r="C13" i="6"/>
  <c r="I13" i="6"/>
  <c r="E13" i="6"/>
  <c r="F11" i="3"/>
  <c r="G11" i="3" s="1"/>
  <c r="J13" i="6" l="1"/>
  <c r="F7" i="5"/>
  <c r="F8" i="5"/>
  <c r="F9" i="5"/>
  <c r="F10" i="5"/>
  <c r="F11" i="5"/>
  <c r="F12" i="5"/>
  <c r="F13" i="5"/>
  <c r="F6" i="5"/>
  <c r="F14" i="5" s="1"/>
  <c r="C25" i="2"/>
  <c r="D25" i="2"/>
  <c r="E25" i="2"/>
  <c r="E6" i="5" l="1"/>
  <c r="E16" i="2" l="1"/>
  <c r="D16" i="2"/>
  <c r="C16" i="2"/>
  <c r="B16" i="2"/>
  <c r="E13" i="5" l="1"/>
  <c r="E12" i="5"/>
  <c r="E11" i="5"/>
  <c r="E10" i="5"/>
  <c r="E9" i="5"/>
  <c r="E8" i="5"/>
  <c r="E7" i="5"/>
  <c r="D4" i="4" l="1"/>
  <c r="D5" i="4"/>
  <c r="D6" i="4"/>
  <c r="D7" i="4"/>
  <c r="D8" i="4"/>
  <c r="D3" i="4"/>
  <c r="D9" i="4" l="1"/>
  <c r="C12" i="3"/>
  <c r="D12" i="3"/>
  <c r="B12" i="3"/>
  <c r="F6" i="3"/>
  <c r="G6" i="3" s="1"/>
  <c r="E6" i="3"/>
  <c r="C30" i="2" l="1"/>
  <c r="D30" i="2"/>
  <c r="B30" i="2"/>
  <c r="C29" i="2"/>
  <c r="D29" i="2"/>
  <c r="B29" i="2"/>
  <c r="C28" i="2"/>
  <c r="D28" i="2"/>
  <c r="B28" i="2"/>
  <c r="B25" i="2"/>
  <c r="E21" i="2"/>
  <c r="E22" i="2"/>
  <c r="E23" i="2"/>
  <c r="E24" i="2"/>
  <c r="E20" i="2"/>
  <c r="C24" i="2"/>
  <c r="D24" i="2"/>
  <c r="B24" i="2"/>
  <c r="C23" i="2"/>
  <c r="D23" i="2"/>
  <c r="C22" i="2"/>
  <c r="D22" i="2"/>
  <c r="C21" i="2"/>
  <c r="D21" i="2"/>
  <c r="D20" i="2"/>
  <c r="C20" i="2"/>
  <c r="B21" i="2"/>
  <c r="B22" i="2"/>
  <c r="B23" i="2"/>
  <c r="B20" i="2"/>
  <c r="E12" i="2"/>
  <c r="E13" i="2"/>
  <c r="E14" i="2"/>
  <c r="E15" i="2"/>
  <c r="E11" i="2"/>
  <c r="C5" i="1" l="1"/>
  <c r="C6" i="1"/>
  <c r="C7" i="1"/>
  <c r="C8" i="1"/>
  <c r="C9" i="1"/>
  <c r="C10" i="1"/>
  <c r="C11" i="1"/>
  <c r="C12" i="1"/>
  <c r="C4" i="1"/>
  <c r="C14" i="1"/>
  <c r="C15" i="1"/>
  <c r="D12" i="1"/>
  <c r="D11" i="1"/>
  <c r="D10" i="1"/>
  <c r="D9" i="1"/>
  <c r="D8" i="1"/>
  <c r="D7" i="1"/>
  <c r="D6" i="1"/>
  <c r="D5" i="1"/>
  <c r="D4" i="1"/>
  <c r="C16" i="1"/>
</calcChain>
</file>

<file path=xl/sharedStrings.xml><?xml version="1.0" encoding="utf-8"?>
<sst xmlns="http://schemas.openxmlformats.org/spreadsheetml/2006/main" count="274" uniqueCount="192">
  <si>
    <t>Conseil de classe</t>
  </si>
  <si>
    <t>Elèves</t>
  </si>
  <si>
    <t>Moyenne
générale</t>
  </si>
  <si>
    <t>Marc</t>
  </si>
  <si>
    <t>Sophie</t>
  </si>
  <si>
    <t>Fred</t>
  </si>
  <si>
    <t>Anne</t>
  </si>
  <si>
    <t>Christine</t>
  </si>
  <si>
    <t>Luc</t>
  </si>
  <si>
    <t>Roger</t>
  </si>
  <si>
    <t>Tifanie</t>
  </si>
  <si>
    <t>Paul</t>
  </si>
  <si>
    <t>Avis préliménaire</t>
  </si>
  <si>
    <t xml:space="preserve">Nombre admis : </t>
  </si>
  <si>
    <t>Nombre redoublant</t>
  </si>
  <si>
    <t>Cas à étudier</t>
  </si>
  <si>
    <t>PRIX DU BILLET D'AVION</t>
  </si>
  <si>
    <t>DESTINATION</t>
  </si>
  <si>
    <t>JUIN</t>
  </si>
  <si>
    <t>JUILLET</t>
  </si>
  <si>
    <t>AOUT</t>
  </si>
  <si>
    <t>Paris</t>
  </si>
  <si>
    <t>Venise</t>
  </si>
  <si>
    <t>Londres</t>
  </si>
  <si>
    <t>Barcelone</t>
  </si>
  <si>
    <t>Genève</t>
  </si>
  <si>
    <t>NOMBRES DE BILLETS VENDUS</t>
  </si>
  <si>
    <t>TOTAL</t>
  </si>
  <si>
    <t>CHIFFRE D'AFFAIRE REALISE</t>
  </si>
  <si>
    <t>MOYENNE</t>
  </si>
  <si>
    <t>MAXIMUM</t>
  </si>
  <si>
    <t>MINIMUM</t>
  </si>
  <si>
    <t>BUDGET PREVISIONNEL</t>
  </si>
  <si>
    <t>Taux de TVA</t>
  </si>
  <si>
    <t>POSTES</t>
  </si>
  <si>
    <t>JULLET</t>
  </si>
  <si>
    <t>SEPTEMBRE</t>
  </si>
  <si>
    <t>TTC</t>
  </si>
  <si>
    <t>SALAIRES</t>
  </si>
  <si>
    <t>FOURNITURES</t>
  </si>
  <si>
    <t>EQUIPEMENT</t>
  </si>
  <si>
    <t>IMMOBILIER</t>
  </si>
  <si>
    <t>PUBLICITE</t>
  </si>
  <si>
    <t>TOTAL TRIMESTRE</t>
  </si>
  <si>
    <t>TOTAL MOIS</t>
  </si>
  <si>
    <t>Articles</t>
  </si>
  <si>
    <t>Qtés</t>
  </si>
  <si>
    <t>facture</t>
  </si>
  <si>
    <t>Prix</t>
  </si>
  <si>
    <t>Total :</t>
  </si>
  <si>
    <t>Total Article</t>
  </si>
  <si>
    <t>Pêches</t>
  </si>
  <si>
    <t>Pommes</t>
  </si>
  <si>
    <t>Poires</t>
  </si>
  <si>
    <t>Kiwis</t>
  </si>
  <si>
    <t>Abricots</t>
  </si>
  <si>
    <t>Bananes</t>
  </si>
  <si>
    <t>tarif</t>
  </si>
  <si>
    <t>Taux TVA</t>
  </si>
  <si>
    <t>Référence</t>
  </si>
  <si>
    <t>Libellé</t>
  </si>
  <si>
    <t>Remise</t>
  </si>
  <si>
    <t>ABC1</t>
  </si>
  <si>
    <t>Bloc-notes</t>
  </si>
  <si>
    <t>ABC2</t>
  </si>
  <si>
    <t>Enveloppes (500)</t>
  </si>
  <si>
    <t>ABC3</t>
  </si>
  <si>
    <t>Stylo</t>
  </si>
  <si>
    <t>ABC4</t>
  </si>
  <si>
    <t>Gomme</t>
  </si>
  <si>
    <t>ABC5</t>
  </si>
  <si>
    <t>Marqueur</t>
  </si>
  <si>
    <t>ABC6</t>
  </si>
  <si>
    <t>Agrafeuse</t>
  </si>
  <si>
    <t>ABC7</t>
  </si>
  <si>
    <t>Classeur</t>
  </si>
  <si>
    <t>ABC8</t>
  </si>
  <si>
    <t>Surligneur</t>
  </si>
  <si>
    <t>TVA MOIS</t>
  </si>
  <si>
    <t>TVA TRIMESTRE</t>
  </si>
  <si>
    <t>P.U.H.T</t>
  </si>
  <si>
    <t>P.U.netH.T</t>
  </si>
  <si>
    <t>P.U.T.T.C</t>
  </si>
  <si>
    <t>CLIENTS</t>
  </si>
  <si>
    <t>MONTANT COMMANDE</t>
  </si>
  <si>
    <t>FAIRE UNE REMISE</t>
  </si>
  <si>
    <t>REZIG</t>
  </si>
  <si>
    <t>SAHNOUNI</t>
  </si>
  <si>
    <t>SAIB</t>
  </si>
  <si>
    <t>SAIDANI</t>
  </si>
  <si>
    <t>SAIHI</t>
  </si>
  <si>
    <t>SAKRI</t>
  </si>
  <si>
    <t>SALMI</t>
  </si>
  <si>
    <t>SAMER</t>
  </si>
  <si>
    <t>SAOUTHI</t>
  </si>
  <si>
    <t>SELLALI</t>
  </si>
  <si>
    <t>SERGHINI</t>
  </si>
  <si>
    <t>MONTANT REMISE</t>
  </si>
  <si>
    <t>ARTICLES</t>
  </si>
  <si>
    <t>CODE TVA</t>
  </si>
  <si>
    <t>TAUX TVA</t>
  </si>
  <si>
    <t>ECRAN</t>
  </si>
  <si>
    <t>IMPRIMANTE</t>
  </si>
  <si>
    <t>CLAVIER</t>
  </si>
  <si>
    <t>SCANNER</t>
  </si>
  <si>
    <t>CASQUE</t>
  </si>
  <si>
    <t>Nom</t>
  </si>
  <si>
    <t>Type client</t>
  </si>
  <si>
    <t>Brut hors taxes</t>
  </si>
  <si>
    <t>Montant remise</t>
  </si>
  <si>
    <t>Net hors taxes</t>
  </si>
  <si>
    <t>Grossiste</t>
  </si>
  <si>
    <t>Détaillant</t>
  </si>
  <si>
    <t>Particulier</t>
  </si>
  <si>
    <t>NOMS</t>
  </si>
  <si>
    <t>SEXE</t>
  </si>
  <si>
    <t>NBRE D'ENFANTS</t>
  </si>
  <si>
    <t>PRIME</t>
  </si>
  <si>
    <t>F</t>
  </si>
  <si>
    <t>M</t>
  </si>
  <si>
    <t xml:space="preserve">Participant (e) </t>
  </si>
  <si>
    <t>Nombres de lectures</t>
  </si>
  <si>
    <t>Nombres de AHZEB</t>
  </si>
  <si>
    <t>DATE DU JOUR :</t>
  </si>
  <si>
    <t xml:space="preserve"> N°FACT </t>
  </si>
  <si>
    <t xml:space="preserve"> CLIENT </t>
  </si>
  <si>
    <t xml:space="preserve"> DATE FACTURE </t>
  </si>
  <si>
    <t xml:space="preserve"> DATE ECHEANCE </t>
  </si>
  <si>
    <t xml:space="preserve"> COMPTE A REBOURS </t>
  </si>
  <si>
    <t xml:space="preserve"> LETTRE DE RAPPEL </t>
  </si>
  <si>
    <t xml:space="preserve"> DATE DE REGLEMENT </t>
  </si>
  <si>
    <t>STR1</t>
  </si>
  <si>
    <t>STR2</t>
  </si>
  <si>
    <t>STR3</t>
  </si>
  <si>
    <t>STR4</t>
  </si>
  <si>
    <t>STR5</t>
  </si>
  <si>
    <t>STR6</t>
  </si>
  <si>
    <t>STR7</t>
  </si>
  <si>
    <t>TADEBIRT</t>
  </si>
  <si>
    <t>ZEMOURI</t>
  </si>
  <si>
    <t>TOUTI</t>
  </si>
  <si>
    <t>METALAI</t>
  </si>
  <si>
    <t>Taux horaire</t>
  </si>
  <si>
    <t>Nombre de voyages à l'étranger</t>
  </si>
  <si>
    <t>Prime heures supplémentaires à 25%</t>
  </si>
  <si>
    <t>Prime heures supplémentaires à 50%</t>
  </si>
  <si>
    <t>Prime heures supplémentaires à 100%</t>
  </si>
  <si>
    <t>Prime de conduite de nuit</t>
  </si>
  <si>
    <t>Prime d'ancienneté</t>
  </si>
  <si>
    <t>Nombre d'heures supplémentaires à 25%</t>
  </si>
  <si>
    <t>Nombre d'heures supplémentaires à 50%</t>
  </si>
  <si>
    <t>Nombre d'heures supplémentaires à 100%</t>
  </si>
  <si>
    <t>Salaire de base</t>
  </si>
  <si>
    <t>Informations relatives aux chauffeurs</t>
  </si>
  <si>
    <t>Taux d'ancienneté</t>
  </si>
  <si>
    <t>Nombre d'heures de conduite de nuit</t>
  </si>
  <si>
    <t>Prime de Voyage à l'étranger</t>
  </si>
  <si>
    <t>Distance parcourue (Km)</t>
  </si>
  <si>
    <t>Prime de distance</t>
  </si>
  <si>
    <t>Total</t>
  </si>
  <si>
    <t>Bulletins de paye</t>
  </si>
  <si>
    <t xml:space="preserve">Total à payer </t>
  </si>
  <si>
    <t>Total / jour</t>
  </si>
  <si>
    <t>Machine 6</t>
  </si>
  <si>
    <t>Machine 5</t>
  </si>
  <si>
    <t>Machine 4</t>
  </si>
  <si>
    <t>Machine 3</t>
  </si>
  <si>
    <t>Machine 2</t>
  </si>
  <si>
    <t>Machine 1</t>
  </si>
  <si>
    <t>Dimanche</t>
  </si>
  <si>
    <t>Samedi</t>
  </si>
  <si>
    <t>Vendredi</t>
  </si>
  <si>
    <t>Jeudi</t>
  </si>
  <si>
    <t>Mercredi</t>
  </si>
  <si>
    <t>Mardi</t>
  </si>
  <si>
    <t>Lundi</t>
  </si>
  <si>
    <t>Capacité</t>
  </si>
  <si>
    <t>Machine</t>
  </si>
  <si>
    <t>Durée du travail</t>
  </si>
  <si>
    <t>Capacités de production – Atelier XXXX</t>
  </si>
  <si>
    <t>Jugement</t>
  </si>
  <si>
    <t>ALI</t>
  </si>
  <si>
    <t>YACINE</t>
  </si>
  <si>
    <t>KAMEL</t>
  </si>
  <si>
    <t>REDHA</t>
  </si>
  <si>
    <t>Montant</t>
  </si>
  <si>
    <t>Produit</t>
  </si>
  <si>
    <t xml:space="preserve">Lait </t>
  </si>
  <si>
    <t>Pomme</t>
  </si>
  <si>
    <t>Carotte</t>
  </si>
  <si>
    <t>Bannane</t>
  </si>
  <si>
    <t>Ananas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</si>
</sst>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/>
    <xf numFmtId="44" fontId="6" fillId="0" borderId="1" xfId="2" applyFont="1" applyFill="1" applyBorder="1"/>
    <xf numFmtId="44" fontId="6" fillId="0" borderId="1" xfId="0" applyNumberFormat="1" applyFont="1" applyFill="1" applyBorder="1"/>
    <xf numFmtId="0" fontId="8" fillId="0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2" xfId="0" applyFont="1" applyBorder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1" fillId="0" borderId="5" xfId="0" applyFont="1" applyBorder="1"/>
    <xf numFmtId="9" fontId="0" fillId="0" borderId="1" xfId="0" applyNumberFormat="1" applyBorder="1"/>
    <xf numFmtId="0" fontId="1" fillId="0" borderId="6" xfId="0" applyFont="1" applyBorder="1"/>
    <xf numFmtId="0" fontId="0" fillId="0" borderId="0" xfId="0" applyBorder="1"/>
    <xf numFmtId="0" fontId="10" fillId="0" borderId="0" xfId="0" applyFont="1" applyFill="1" applyBorder="1"/>
    <xf numFmtId="0" fontId="7" fillId="0" borderId="0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9" fontId="0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0" fontId="6" fillId="0" borderId="3" xfId="0" applyNumberFormat="1" applyFont="1" applyFill="1" applyBorder="1"/>
  </cellXfs>
  <cellStyles count="3">
    <cellStyle name="Currency" xfId="2" builtinId="4"/>
    <cellStyle name="Normal" xfId="0" builtinId="0"/>
    <cellStyle name="Pourcentage 2" xfId="1"/>
  </cellStyles>
  <dxfs count="3">
    <dxf>
      <font>
        <color rgb="FF9C0006"/>
      </font>
    </dxf>
    <dxf>
      <font>
        <color rgb="FF9C0006"/>
      </font>
    </dxf>
    <dxf>
      <font>
        <color rgb="FF00206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9" sqref="C9"/>
    </sheetView>
  </sheetViews>
  <sheetFormatPr defaultRowHeight="15" x14ac:dyDescent="0.25"/>
  <cols>
    <col min="1" max="1" width="11.28515625" customWidth="1"/>
    <col min="2" max="2" width="12.42578125" customWidth="1"/>
    <col min="3" max="3" width="7.85546875" customWidth="1"/>
    <col min="4" max="4" width="12" customWidth="1"/>
    <col min="8" max="8" width="9.140625" customWidth="1"/>
  </cols>
  <sheetData>
    <row r="1" spans="1:8" x14ac:dyDescent="0.25">
      <c r="A1" s="44" t="s">
        <v>47</v>
      </c>
      <c r="B1" s="44"/>
      <c r="C1" s="44"/>
      <c r="D1" s="44"/>
    </row>
    <row r="2" spans="1:8" x14ac:dyDescent="0.25">
      <c r="A2" s="4" t="s">
        <v>45</v>
      </c>
      <c r="B2" s="4" t="s">
        <v>48</v>
      </c>
      <c r="C2" s="4" t="s">
        <v>46</v>
      </c>
      <c r="D2" s="4" t="s">
        <v>50</v>
      </c>
    </row>
    <row r="3" spans="1:8" x14ac:dyDescent="0.25">
      <c r="A3" s="3" t="s">
        <v>51</v>
      </c>
      <c r="B3" s="3">
        <v>125</v>
      </c>
      <c r="C3" s="3">
        <v>2</v>
      </c>
      <c r="D3" s="3">
        <f>B3*C3</f>
        <v>250</v>
      </c>
      <c r="H3" t="s">
        <v>51</v>
      </c>
    </row>
    <row r="4" spans="1:8" x14ac:dyDescent="0.25">
      <c r="A4" s="3" t="s">
        <v>52</v>
      </c>
      <c r="B4" s="3">
        <v>250</v>
      </c>
      <c r="C4" s="3">
        <v>5</v>
      </c>
      <c r="D4" s="3">
        <f t="shared" ref="D4:D8" si="0">B4*C4</f>
        <v>1250</v>
      </c>
      <c r="H4" t="s">
        <v>52</v>
      </c>
    </row>
    <row r="5" spans="1:8" x14ac:dyDescent="0.25">
      <c r="A5" s="3" t="s">
        <v>53</v>
      </c>
      <c r="B5" s="3">
        <v>300</v>
      </c>
      <c r="C5" s="3">
        <v>4</v>
      </c>
      <c r="D5" s="3">
        <f t="shared" si="0"/>
        <v>1200</v>
      </c>
      <c r="H5" t="s">
        <v>53</v>
      </c>
    </row>
    <row r="6" spans="1:8" x14ac:dyDescent="0.25">
      <c r="A6" s="3" t="s">
        <v>54</v>
      </c>
      <c r="B6" s="3">
        <v>88</v>
      </c>
      <c r="C6" s="3">
        <v>15</v>
      </c>
      <c r="D6" s="3">
        <f t="shared" si="0"/>
        <v>1320</v>
      </c>
      <c r="H6" t="s">
        <v>54</v>
      </c>
    </row>
    <row r="7" spans="1:8" x14ac:dyDescent="0.25">
      <c r="A7" s="3" t="s">
        <v>55</v>
      </c>
      <c r="B7" s="3">
        <v>69</v>
      </c>
      <c r="C7" s="3">
        <v>22</v>
      </c>
      <c r="D7" s="3">
        <f t="shared" si="0"/>
        <v>1518</v>
      </c>
      <c r="H7" t="s">
        <v>55</v>
      </c>
    </row>
    <row r="8" spans="1:8" x14ac:dyDescent="0.25">
      <c r="A8" s="3" t="s">
        <v>56</v>
      </c>
      <c r="B8" s="3">
        <v>112</v>
      </c>
      <c r="C8" s="3">
        <v>16</v>
      </c>
      <c r="D8" s="3">
        <f t="shared" si="0"/>
        <v>1792</v>
      </c>
      <c r="H8" t="s">
        <v>56</v>
      </c>
    </row>
    <row r="9" spans="1:8" x14ac:dyDescent="0.25">
      <c r="C9" s="4" t="s">
        <v>49</v>
      </c>
      <c r="D9" s="9">
        <f>SUM(D3:D8)</f>
        <v>7330</v>
      </c>
    </row>
  </sheetData>
  <mergeCells count="1">
    <mergeCell ref="A1:D1"/>
  </mergeCells>
  <conditionalFormatting sqref="D3:D8">
    <cfRule type="iconSet" priority="1">
      <iconSet iconSet="3Arrows">
        <cfvo type="percent" val="0"/>
        <cfvo type="num" val="1000"/>
        <cfvo type="num" val="1500"/>
      </iconSet>
    </cfRule>
  </conditionalFormatting>
  <dataValidations count="2">
    <dataValidation type="decimal" operator="greaterThan" allowBlank="1" showInputMessage="1" showErrorMessage="1" errorTitle="Erreur" error="Veuillez saisir une valeur correcte" sqref="C3:C8">
      <formula1>0</formula1>
    </dataValidation>
    <dataValidation type="list" allowBlank="1" showInputMessage="1" showErrorMessage="1" sqref="A3:A8">
      <formula1>$H$3:$H$8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2" sqref="F2"/>
    </sheetView>
  </sheetViews>
  <sheetFormatPr defaultRowHeight="15" x14ac:dyDescent="0.25"/>
  <cols>
    <col min="1" max="1" width="13.28515625" customWidth="1"/>
    <col min="2" max="2" width="12.42578125" customWidth="1"/>
    <col min="3" max="3" width="16.7109375" customWidth="1"/>
    <col min="4" max="4" width="12.7109375" customWidth="1"/>
    <col min="5" max="5" width="15.85546875" customWidth="1"/>
    <col min="6" max="6" width="16.140625" customWidth="1"/>
  </cols>
  <sheetData>
    <row r="1" spans="1:6" x14ac:dyDescent="0.25">
      <c r="A1" s="2" t="s">
        <v>106</v>
      </c>
      <c r="B1" s="2" t="s">
        <v>107</v>
      </c>
      <c r="C1" s="2" t="s">
        <v>108</v>
      </c>
      <c r="D1" s="2" t="s">
        <v>61</v>
      </c>
      <c r="E1" s="2" t="s">
        <v>109</v>
      </c>
      <c r="F1" s="2" t="s">
        <v>110</v>
      </c>
    </row>
    <row r="2" spans="1:6" x14ac:dyDescent="0.25">
      <c r="A2" s="3" t="s">
        <v>89</v>
      </c>
      <c r="B2" s="3" t="s">
        <v>111</v>
      </c>
      <c r="C2" s="3">
        <v>14650</v>
      </c>
      <c r="D2" s="3">
        <f>IF(C2&gt;10000,IF(B2="Grossiste",7%,5%),3%)</f>
        <v>7.0000000000000007E-2</v>
      </c>
      <c r="E2" s="3">
        <f>D2*C2</f>
        <v>1025.5</v>
      </c>
      <c r="F2" s="3">
        <f>C2-E2</f>
        <v>13624.5</v>
      </c>
    </row>
    <row r="3" spans="1:6" x14ac:dyDescent="0.25">
      <c r="A3" s="3" t="s">
        <v>90</v>
      </c>
      <c r="B3" s="3" t="s">
        <v>112</v>
      </c>
      <c r="C3" s="3">
        <v>8703</v>
      </c>
      <c r="D3" s="3">
        <f t="shared" ref="D3:D9" si="0">IF(C3&gt;10000,IF(B3="Grossiste",7%,5%),3%)</f>
        <v>0.03</v>
      </c>
      <c r="E3" s="3">
        <f t="shared" ref="E3:E9" si="1">D3*C3</f>
        <v>261.08999999999997</v>
      </c>
      <c r="F3" s="3">
        <f t="shared" ref="F3:F9" si="2">C3-E3</f>
        <v>8441.91</v>
      </c>
    </row>
    <row r="4" spans="1:6" x14ac:dyDescent="0.25">
      <c r="A4" s="3" t="s">
        <v>91</v>
      </c>
      <c r="B4" s="3" t="s">
        <v>113</v>
      </c>
      <c r="C4" s="3">
        <v>14540</v>
      </c>
      <c r="D4" s="3">
        <f t="shared" si="0"/>
        <v>0.05</v>
      </c>
      <c r="E4" s="3">
        <f t="shared" si="1"/>
        <v>727</v>
      </c>
      <c r="F4" s="3">
        <f t="shared" si="2"/>
        <v>13813</v>
      </c>
    </row>
    <row r="5" spans="1:6" x14ac:dyDescent="0.25">
      <c r="A5" s="3" t="s">
        <v>92</v>
      </c>
      <c r="B5" s="3" t="s">
        <v>111</v>
      </c>
      <c r="C5" s="3">
        <v>8775</v>
      </c>
      <c r="D5" s="3">
        <f t="shared" si="0"/>
        <v>0.03</v>
      </c>
      <c r="E5" s="3">
        <f t="shared" si="1"/>
        <v>263.25</v>
      </c>
      <c r="F5" s="3">
        <f t="shared" si="2"/>
        <v>8511.75</v>
      </c>
    </row>
    <row r="6" spans="1:6" x14ac:dyDescent="0.25">
      <c r="A6" s="3" t="s">
        <v>93</v>
      </c>
      <c r="B6" s="3" t="s">
        <v>113</v>
      </c>
      <c r="C6" s="3">
        <v>7602</v>
      </c>
      <c r="D6" s="3">
        <f t="shared" si="0"/>
        <v>0.03</v>
      </c>
      <c r="E6" s="3">
        <f t="shared" si="1"/>
        <v>228.06</v>
      </c>
      <c r="F6" s="3">
        <f t="shared" si="2"/>
        <v>7373.94</v>
      </c>
    </row>
    <row r="7" spans="1:6" x14ac:dyDescent="0.25">
      <c r="A7" s="3" t="s">
        <v>94</v>
      </c>
      <c r="B7" s="3" t="s">
        <v>111</v>
      </c>
      <c r="C7" s="3">
        <v>11215</v>
      </c>
      <c r="D7" s="3">
        <f t="shared" si="0"/>
        <v>7.0000000000000007E-2</v>
      </c>
      <c r="E7" s="3">
        <f t="shared" si="1"/>
        <v>785.05000000000007</v>
      </c>
      <c r="F7" s="3">
        <f t="shared" si="2"/>
        <v>10429.950000000001</v>
      </c>
    </row>
    <row r="8" spans="1:6" x14ac:dyDescent="0.25">
      <c r="A8" s="3" t="s">
        <v>95</v>
      </c>
      <c r="B8" s="3" t="s">
        <v>112</v>
      </c>
      <c r="C8" s="3">
        <v>8703</v>
      </c>
      <c r="D8" s="3">
        <f t="shared" si="0"/>
        <v>0.03</v>
      </c>
      <c r="E8" s="3">
        <f t="shared" si="1"/>
        <v>261.08999999999997</v>
      </c>
      <c r="F8" s="3">
        <f t="shared" si="2"/>
        <v>8441.91</v>
      </c>
    </row>
    <row r="9" spans="1:6" x14ac:dyDescent="0.25">
      <c r="A9" s="3" t="s">
        <v>96</v>
      </c>
      <c r="B9" s="3" t="s">
        <v>112</v>
      </c>
      <c r="C9" s="3">
        <v>17525</v>
      </c>
      <c r="D9" s="3">
        <f t="shared" si="0"/>
        <v>0.05</v>
      </c>
      <c r="E9" s="3">
        <f t="shared" si="1"/>
        <v>876.25</v>
      </c>
      <c r="F9" s="3">
        <f t="shared" si="2"/>
        <v>16648.75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3" sqref="D3"/>
    </sheetView>
  </sheetViews>
  <sheetFormatPr defaultRowHeight="15" x14ac:dyDescent="0.25"/>
  <cols>
    <col min="1" max="1" width="10.85546875" customWidth="1"/>
    <col min="2" max="2" width="12" customWidth="1"/>
    <col min="3" max="3" width="18.28515625" customWidth="1"/>
    <col min="4" max="4" width="13.85546875" customWidth="1"/>
    <col min="5" max="5" width="12.7109375" customWidth="1"/>
  </cols>
  <sheetData>
    <row r="1" spans="1:4" x14ac:dyDescent="0.25">
      <c r="A1" s="4" t="s">
        <v>114</v>
      </c>
      <c r="B1" s="4" t="s">
        <v>115</v>
      </c>
      <c r="C1" s="4" t="s">
        <v>116</v>
      </c>
      <c r="D1" s="4" t="s">
        <v>117</v>
      </c>
    </row>
    <row r="2" spans="1:4" x14ac:dyDescent="0.25">
      <c r="A2" s="3" t="s">
        <v>89</v>
      </c>
      <c r="B2" s="3" t="s">
        <v>118</v>
      </c>
      <c r="C2" s="3">
        <v>0</v>
      </c>
      <c r="D2" s="3">
        <f>IF(C2&gt;2,C2*700,IF(C2&gt;0,500*C2,0))</f>
        <v>0</v>
      </c>
    </row>
    <row r="3" spans="1:4" x14ac:dyDescent="0.25">
      <c r="A3" s="3" t="s">
        <v>90</v>
      </c>
      <c r="B3" s="3" t="s">
        <v>119</v>
      </c>
      <c r="C3" s="3">
        <v>1</v>
      </c>
      <c r="D3" s="3">
        <f t="shared" ref="D3:D9" si="0">IF(C3&gt;2,C3*700,IF(C3&gt;0,500*C3,0))</f>
        <v>500</v>
      </c>
    </row>
    <row r="4" spans="1:4" x14ac:dyDescent="0.25">
      <c r="A4" s="3" t="s">
        <v>91</v>
      </c>
      <c r="B4" s="3" t="s">
        <v>118</v>
      </c>
      <c r="C4" s="3">
        <v>2</v>
      </c>
      <c r="D4" s="3">
        <f t="shared" si="0"/>
        <v>1000</v>
      </c>
    </row>
    <row r="5" spans="1:4" x14ac:dyDescent="0.25">
      <c r="A5" s="3" t="s">
        <v>92</v>
      </c>
      <c r="B5" s="3" t="s">
        <v>119</v>
      </c>
      <c r="C5" s="3">
        <v>1</v>
      </c>
      <c r="D5" s="3">
        <f t="shared" si="0"/>
        <v>500</v>
      </c>
    </row>
    <row r="6" spans="1:4" x14ac:dyDescent="0.25">
      <c r="A6" s="3" t="s">
        <v>93</v>
      </c>
      <c r="B6" s="3" t="s">
        <v>118</v>
      </c>
      <c r="C6" s="3">
        <v>5</v>
      </c>
      <c r="D6" s="3">
        <f t="shared" si="0"/>
        <v>3500</v>
      </c>
    </row>
    <row r="7" spans="1:4" x14ac:dyDescent="0.25">
      <c r="A7" s="3" t="s">
        <v>94</v>
      </c>
      <c r="B7" s="3" t="s">
        <v>119</v>
      </c>
      <c r="C7" s="3">
        <v>3</v>
      </c>
      <c r="D7" s="3">
        <f t="shared" si="0"/>
        <v>2100</v>
      </c>
    </row>
    <row r="8" spans="1:4" x14ac:dyDescent="0.25">
      <c r="A8" s="3" t="s">
        <v>95</v>
      </c>
      <c r="B8" s="3" t="s">
        <v>118</v>
      </c>
      <c r="C8" s="3">
        <v>2</v>
      </c>
      <c r="D8" s="3">
        <f t="shared" si="0"/>
        <v>1000</v>
      </c>
    </row>
    <row r="9" spans="1:4" x14ac:dyDescent="0.25">
      <c r="A9" s="3" t="s">
        <v>96</v>
      </c>
      <c r="B9" s="3" t="s">
        <v>119</v>
      </c>
      <c r="C9" s="3">
        <v>2</v>
      </c>
      <c r="D9" s="3">
        <f t="shared" si="0"/>
        <v>1000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2" sqref="D2"/>
    </sheetView>
  </sheetViews>
  <sheetFormatPr defaultRowHeight="15" x14ac:dyDescent="0.25"/>
  <cols>
    <col min="1" max="1" width="13.42578125" customWidth="1"/>
    <col min="2" max="2" width="20.7109375" customWidth="1"/>
    <col min="3" max="3" width="19.140625" customWidth="1"/>
    <col min="4" max="4" width="11.7109375" customWidth="1"/>
  </cols>
  <sheetData>
    <row r="1" spans="1:4" x14ac:dyDescent="0.25">
      <c r="A1" s="4" t="s">
        <v>120</v>
      </c>
      <c r="B1" s="4" t="s">
        <v>121</v>
      </c>
      <c r="C1" s="4" t="s">
        <v>122</v>
      </c>
      <c r="D1" s="4" t="s">
        <v>180</v>
      </c>
    </row>
    <row r="2" spans="1:4" x14ac:dyDescent="0.25">
      <c r="A2" s="3" t="s">
        <v>87</v>
      </c>
      <c r="B2" s="3">
        <v>10</v>
      </c>
      <c r="C2" s="3">
        <v>21</v>
      </c>
      <c r="D2" s="3" t="str">
        <f>IF(OR(C2&gt;30,B2&gt;6),"Felecitation","")</f>
        <v>Felecitation</v>
      </c>
    </row>
    <row r="3" spans="1:4" x14ac:dyDescent="0.25">
      <c r="A3" s="3" t="s">
        <v>89</v>
      </c>
      <c r="B3" s="3">
        <v>2</v>
      </c>
      <c r="C3" s="3">
        <v>25</v>
      </c>
      <c r="D3" s="3" t="str">
        <f t="shared" ref="D3:D6" si="0">IF(OR(C3&gt;30,B3&gt;6),"Felecitation","")</f>
        <v/>
      </c>
    </row>
    <row r="4" spans="1:4" x14ac:dyDescent="0.25">
      <c r="A4" s="3" t="s">
        <v>90</v>
      </c>
      <c r="B4" s="3">
        <v>5</v>
      </c>
      <c r="C4" s="3">
        <v>15</v>
      </c>
      <c r="D4" s="3" t="str">
        <f t="shared" si="0"/>
        <v/>
      </c>
    </row>
    <row r="5" spans="1:4" x14ac:dyDescent="0.25">
      <c r="A5" s="3" t="s">
        <v>91</v>
      </c>
      <c r="B5" s="3">
        <v>9</v>
      </c>
      <c r="C5" s="3">
        <v>38</v>
      </c>
      <c r="D5" s="3" t="str">
        <f t="shared" si="0"/>
        <v>Felecitation</v>
      </c>
    </row>
    <row r="6" spans="1:4" x14ac:dyDescent="0.25">
      <c r="A6" s="3" t="s">
        <v>92</v>
      </c>
      <c r="B6" s="3">
        <v>11</v>
      </c>
      <c r="C6" s="3">
        <v>16</v>
      </c>
      <c r="D6" s="3" t="str">
        <f t="shared" si="0"/>
        <v>Felecitation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4" sqref="F4"/>
    </sheetView>
  </sheetViews>
  <sheetFormatPr defaultRowHeight="15" x14ac:dyDescent="0.25"/>
  <cols>
    <col min="1" max="1" width="8.28515625" customWidth="1"/>
    <col min="2" max="2" width="9.5703125" customWidth="1"/>
    <col min="3" max="3" width="13.140625" customWidth="1"/>
    <col min="4" max="4" width="11.42578125" customWidth="1"/>
    <col min="5" max="5" width="12.140625" customWidth="1"/>
    <col min="6" max="6" width="23.140625" customWidth="1"/>
    <col min="7" max="7" width="11.7109375" customWidth="1"/>
  </cols>
  <sheetData>
    <row r="1" spans="1:7" ht="30.75" thickBot="1" x14ac:dyDescent="0.3">
      <c r="B1" s="25" t="s">
        <v>123</v>
      </c>
      <c r="C1" s="26">
        <v>40987</v>
      </c>
      <c r="E1" s="22"/>
    </row>
    <row r="3" spans="1:7" ht="27.75" customHeight="1" x14ac:dyDescent="0.25">
      <c r="A3" s="23" t="s">
        <v>124</v>
      </c>
      <c r="B3" s="23" t="s">
        <v>125</v>
      </c>
      <c r="C3" s="23" t="s">
        <v>126</v>
      </c>
      <c r="D3" s="23" t="s">
        <v>127</v>
      </c>
      <c r="E3" s="23" t="s">
        <v>128</v>
      </c>
      <c r="F3" s="23" t="s">
        <v>129</v>
      </c>
      <c r="G3" s="23" t="s">
        <v>130</v>
      </c>
    </row>
    <row r="4" spans="1:7" x14ac:dyDescent="0.25">
      <c r="A4" s="3" t="s">
        <v>131</v>
      </c>
      <c r="B4" s="3" t="s">
        <v>86</v>
      </c>
      <c r="C4" s="24">
        <v>40949</v>
      </c>
      <c r="D4" s="24">
        <v>40959</v>
      </c>
      <c r="E4" s="3">
        <f>D4-$C$1</f>
        <v>-28</v>
      </c>
      <c r="F4" s="3" t="str">
        <f>IF(AND(3+E4 &lt; 0,G4=""),"Envoyer une lettre",IF(G4&lt;&gt;"","Echeance réglé",""))</f>
        <v>Echeance réglé</v>
      </c>
      <c r="G4" s="24">
        <v>40960</v>
      </c>
    </row>
    <row r="5" spans="1:7" x14ac:dyDescent="0.25">
      <c r="A5" s="3" t="s">
        <v>132</v>
      </c>
      <c r="B5" s="3" t="s">
        <v>88</v>
      </c>
      <c r="C5" s="24">
        <v>40949</v>
      </c>
      <c r="D5" s="24">
        <v>40966</v>
      </c>
      <c r="E5" s="3">
        <f t="shared" ref="E5:E10" si="0">D5-$C$1</f>
        <v>-21</v>
      </c>
      <c r="F5" s="3" t="str">
        <f t="shared" ref="F5:F10" si="1">IF(AND(3+E5 &lt; 0,G5=""),"Envoyer une lettre",IF(G5&lt;&gt;"","Echeance réglé",""))</f>
        <v>Echeance réglé</v>
      </c>
      <c r="G5" s="24">
        <v>40970</v>
      </c>
    </row>
    <row r="6" spans="1:7" x14ac:dyDescent="0.25">
      <c r="A6" s="3" t="s">
        <v>133</v>
      </c>
      <c r="B6" s="3" t="s">
        <v>90</v>
      </c>
      <c r="C6" s="24">
        <v>40950</v>
      </c>
      <c r="D6" s="24">
        <v>40993</v>
      </c>
      <c r="E6" s="3">
        <f t="shared" si="0"/>
        <v>6</v>
      </c>
      <c r="F6" s="3" t="str">
        <f t="shared" si="1"/>
        <v/>
      </c>
      <c r="G6" s="3"/>
    </row>
    <row r="7" spans="1:7" x14ac:dyDescent="0.25">
      <c r="A7" s="3" t="s">
        <v>134</v>
      </c>
      <c r="B7" s="3" t="s">
        <v>91</v>
      </c>
      <c r="C7" s="24">
        <v>40950</v>
      </c>
      <c r="D7" s="24">
        <v>40983</v>
      </c>
      <c r="E7" s="3">
        <f t="shared" si="0"/>
        <v>-4</v>
      </c>
      <c r="F7" s="3" t="str">
        <f t="shared" si="1"/>
        <v>Envoyer une lettre</v>
      </c>
      <c r="G7" s="3"/>
    </row>
    <row r="8" spans="1:7" x14ac:dyDescent="0.25">
      <c r="A8" s="3" t="s">
        <v>135</v>
      </c>
      <c r="B8" s="3" t="s">
        <v>92</v>
      </c>
      <c r="C8" s="24">
        <v>40951</v>
      </c>
      <c r="D8" s="24">
        <v>40966</v>
      </c>
      <c r="E8" s="3">
        <f t="shared" si="0"/>
        <v>-21</v>
      </c>
      <c r="F8" s="3" t="str">
        <f t="shared" si="1"/>
        <v>Echeance réglé</v>
      </c>
      <c r="G8" s="24">
        <v>40969</v>
      </c>
    </row>
    <row r="9" spans="1:7" x14ac:dyDescent="0.25">
      <c r="A9" s="3" t="s">
        <v>136</v>
      </c>
      <c r="B9" s="3" t="s">
        <v>93</v>
      </c>
      <c r="C9" s="24">
        <v>40951</v>
      </c>
      <c r="D9" s="24">
        <v>40983</v>
      </c>
      <c r="E9" s="3">
        <f t="shared" si="0"/>
        <v>-4</v>
      </c>
      <c r="F9" s="3" t="str">
        <f t="shared" si="1"/>
        <v>Envoyer une lettre</v>
      </c>
      <c r="G9" s="3"/>
    </row>
    <row r="10" spans="1:7" x14ac:dyDescent="0.25">
      <c r="A10" s="3" t="s">
        <v>137</v>
      </c>
      <c r="B10" s="3" t="s">
        <v>95</v>
      </c>
      <c r="C10" s="24">
        <v>40951</v>
      </c>
      <c r="D10" s="24">
        <v>40983</v>
      </c>
      <c r="E10" s="3">
        <f t="shared" si="0"/>
        <v>-4</v>
      </c>
      <c r="F10" s="3" t="str">
        <f t="shared" si="1"/>
        <v>Envoyer une lettre</v>
      </c>
      <c r="G1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19" sqref="B19"/>
    </sheetView>
  </sheetViews>
  <sheetFormatPr defaultRowHeight="15" x14ac:dyDescent="0.25"/>
  <cols>
    <col min="1" max="1" width="38.7109375" customWidth="1"/>
    <col min="2" max="2" width="9.7109375" customWidth="1"/>
  </cols>
  <sheetData>
    <row r="1" spans="1:5" x14ac:dyDescent="0.25">
      <c r="A1" s="44" t="s">
        <v>153</v>
      </c>
      <c r="B1" s="44"/>
      <c r="C1" s="44"/>
      <c r="D1" s="44"/>
      <c r="E1" s="44"/>
    </row>
    <row r="2" spans="1:5" x14ac:dyDescent="0.25">
      <c r="B2" s="27" t="s">
        <v>138</v>
      </c>
      <c r="C2" s="27" t="s">
        <v>139</v>
      </c>
      <c r="D2" s="27" t="s">
        <v>140</v>
      </c>
      <c r="E2" s="27" t="s">
        <v>141</v>
      </c>
    </row>
    <row r="3" spans="1:5" x14ac:dyDescent="0.25">
      <c r="A3" s="4" t="s">
        <v>142</v>
      </c>
      <c r="B3" s="3">
        <v>8</v>
      </c>
      <c r="C3" s="3">
        <v>8.25</v>
      </c>
      <c r="D3" s="3">
        <v>10.6</v>
      </c>
      <c r="E3" s="3">
        <v>7.5</v>
      </c>
    </row>
    <row r="4" spans="1:5" x14ac:dyDescent="0.25">
      <c r="A4" s="4" t="s">
        <v>154</v>
      </c>
      <c r="B4" s="28">
        <v>0.01</v>
      </c>
      <c r="C4" s="28">
        <v>0.02</v>
      </c>
      <c r="D4" s="28">
        <v>0.03</v>
      </c>
      <c r="E4" s="3"/>
    </row>
    <row r="5" spans="1:5" x14ac:dyDescent="0.25">
      <c r="A5" s="4" t="s">
        <v>149</v>
      </c>
      <c r="B5" s="3">
        <v>5</v>
      </c>
      <c r="C5" s="3">
        <v>6</v>
      </c>
      <c r="D5" s="3"/>
      <c r="E5" s="3">
        <v>8</v>
      </c>
    </row>
    <row r="6" spans="1:5" x14ac:dyDescent="0.25">
      <c r="A6" s="4" t="s">
        <v>150</v>
      </c>
      <c r="B6" s="3">
        <v>2</v>
      </c>
      <c r="C6" s="3">
        <v>1</v>
      </c>
      <c r="D6" s="3"/>
      <c r="E6" s="3">
        <v>6</v>
      </c>
    </row>
    <row r="7" spans="1:5" x14ac:dyDescent="0.25">
      <c r="A7" s="4" t="s">
        <v>151</v>
      </c>
      <c r="B7" s="3">
        <v>3</v>
      </c>
      <c r="C7" s="3"/>
      <c r="D7" s="3"/>
      <c r="E7" s="3"/>
    </row>
    <row r="8" spans="1:5" x14ac:dyDescent="0.25">
      <c r="A8" s="4" t="s">
        <v>155</v>
      </c>
      <c r="B8" s="3">
        <v>10</v>
      </c>
      <c r="C8" s="3">
        <v>18</v>
      </c>
      <c r="D8" s="3">
        <v>4</v>
      </c>
      <c r="E8" s="3">
        <v>7</v>
      </c>
    </row>
    <row r="9" spans="1:5" x14ac:dyDescent="0.25">
      <c r="A9" s="4" t="s">
        <v>143</v>
      </c>
      <c r="B9" s="3">
        <v>1</v>
      </c>
      <c r="C9" s="3"/>
      <c r="D9" s="3">
        <v>4</v>
      </c>
      <c r="E9" s="3">
        <v>2</v>
      </c>
    </row>
    <row r="10" spans="1:5" x14ac:dyDescent="0.25">
      <c r="A10" s="4" t="s">
        <v>157</v>
      </c>
      <c r="B10" s="3">
        <v>3750</v>
      </c>
      <c r="C10" s="3">
        <v>4620</v>
      </c>
      <c r="D10" s="3">
        <v>8650</v>
      </c>
      <c r="E10" s="3">
        <v>4995</v>
      </c>
    </row>
    <row r="11" spans="1:5" x14ac:dyDescent="0.25">
      <c r="A11" s="30"/>
      <c r="B11" s="30"/>
      <c r="C11" s="30"/>
      <c r="D11" s="30"/>
      <c r="E11" s="30"/>
    </row>
    <row r="12" spans="1:5" x14ac:dyDescent="0.25">
      <c r="A12" s="49" t="s">
        <v>160</v>
      </c>
      <c r="B12" s="49"/>
      <c r="C12" s="49"/>
      <c r="D12" s="49"/>
      <c r="E12" s="49"/>
    </row>
    <row r="13" spans="1:5" x14ac:dyDescent="0.25">
      <c r="B13" s="4" t="s">
        <v>181</v>
      </c>
      <c r="C13" s="4" t="s">
        <v>182</v>
      </c>
      <c r="D13" s="4" t="s">
        <v>183</v>
      </c>
      <c r="E13" s="4" t="s">
        <v>184</v>
      </c>
    </row>
    <row r="14" spans="1:5" x14ac:dyDescent="0.25">
      <c r="A14" s="4" t="s">
        <v>152</v>
      </c>
      <c r="B14" s="3">
        <f>3000*B3</f>
        <v>24000</v>
      </c>
      <c r="C14" s="3">
        <f t="shared" ref="C14:E14" si="0">3000*C3</f>
        <v>24750</v>
      </c>
      <c r="D14" s="3">
        <f t="shared" si="0"/>
        <v>31800</v>
      </c>
      <c r="E14" s="3">
        <f t="shared" si="0"/>
        <v>22500</v>
      </c>
    </row>
    <row r="15" spans="1:5" x14ac:dyDescent="0.25">
      <c r="A15" s="4" t="s">
        <v>148</v>
      </c>
      <c r="B15" s="3">
        <f>B14*B4</f>
        <v>240</v>
      </c>
      <c r="C15" s="3">
        <f t="shared" ref="C15:E15" si="1">C14*C4</f>
        <v>495</v>
      </c>
      <c r="D15" s="3">
        <f t="shared" si="1"/>
        <v>954</v>
      </c>
      <c r="E15" s="3">
        <f t="shared" si="1"/>
        <v>0</v>
      </c>
    </row>
    <row r="16" spans="1:5" x14ac:dyDescent="0.25">
      <c r="A16" s="4" t="s">
        <v>144</v>
      </c>
      <c r="B16" s="3">
        <f>B5*3000*25%</f>
        <v>3750</v>
      </c>
      <c r="C16" s="3">
        <f t="shared" ref="C16:E16" si="2">C5*3000*25%</f>
        <v>4500</v>
      </c>
      <c r="D16" s="3">
        <f t="shared" si="2"/>
        <v>0</v>
      </c>
      <c r="E16" s="3">
        <f t="shared" si="2"/>
        <v>6000</v>
      </c>
    </row>
    <row r="17" spans="1:5" x14ac:dyDescent="0.25">
      <c r="A17" s="4" t="s">
        <v>145</v>
      </c>
      <c r="B17" s="3">
        <f>B6*3000*50%</f>
        <v>3000</v>
      </c>
      <c r="C17" s="3">
        <f t="shared" ref="C17:E17" si="3">C6*3000*50%</f>
        <v>1500</v>
      </c>
      <c r="D17" s="3">
        <f t="shared" si="3"/>
        <v>0</v>
      </c>
      <c r="E17" s="3">
        <f t="shared" si="3"/>
        <v>9000</v>
      </c>
    </row>
    <row r="18" spans="1:5" x14ac:dyDescent="0.25">
      <c r="A18" s="4" t="s">
        <v>146</v>
      </c>
      <c r="B18" s="3">
        <f>B7*3000*100%</f>
        <v>9000</v>
      </c>
      <c r="C18" s="3">
        <f t="shared" ref="C18:E18" si="4">C7*3000*100%</f>
        <v>0</v>
      </c>
      <c r="D18" s="3">
        <f t="shared" si="4"/>
        <v>0</v>
      </c>
      <c r="E18" s="3">
        <f t="shared" si="4"/>
        <v>0</v>
      </c>
    </row>
    <row r="19" spans="1:5" x14ac:dyDescent="0.25">
      <c r="A19" s="4" t="s">
        <v>147</v>
      </c>
      <c r="B19" s="3">
        <f>900*B8</f>
        <v>9000</v>
      </c>
      <c r="C19" s="3">
        <f t="shared" ref="C19:E19" si="5">900*C8</f>
        <v>16200</v>
      </c>
      <c r="D19" s="3">
        <f t="shared" si="5"/>
        <v>3600</v>
      </c>
      <c r="E19" s="3">
        <f t="shared" si="5"/>
        <v>6300</v>
      </c>
    </row>
    <row r="20" spans="1:5" x14ac:dyDescent="0.25">
      <c r="A20" s="4" t="s">
        <v>156</v>
      </c>
      <c r="B20" s="3">
        <f>5000*B9</f>
        <v>5000</v>
      </c>
      <c r="C20" s="3">
        <f t="shared" ref="C20:E20" si="6">5000*C9</f>
        <v>0</v>
      </c>
      <c r="D20" s="3">
        <f t="shared" si="6"/>
        <v>20000</v>
      </c>
      <c r="E20" s="3">
        <f t="shared" si="6"/>
        <v>10000</v>
      </c>
    </row>
    <row r="21" spans="1:5" x14ac:dyDescent="0.25">
      <c r="A21" s="4" t="s">
        <v>158</v>
      </c>
      <c r="B21" s="3">
        <f>IF(B10&gt;5000,6000,IF(B10&gt;4000,5000,IF(B10&gt;3000,3000,0)))</f>
        <v>3000</v>
      </c>
      <c r="C21" s="3">
        <f t="shared" ref="C21:E21" si="7">IF(C10&gt;5000,6000,IF(C10&gt;4000,5000,IF(C10&gt;3000,3000,0)))</f>
        <v>5000</v>
      </c>
      <c r="D21" s="3">
        <f t="shared" si="7"/>
        <v>6000</v>
      </c>
      <c r="E21" s="3">
        <f t="shared" si="7"/>
        <v>5000</v>
      </c>
    </row>
    <row r="22" spans="1:5" x14ac:dyDescent="0.25">
      <c r="A22" s="9" t="s">
        <v>161</v>
      </c>
      <c r="B22" s="3">
        <f>SUM(B14:B21)</f>
        <v>56990</v>
      </c>
      <c r="C22" s="3">
        <f t="shared" ref="C22:E22" si="8">SUM(C14:C21)</f>
        <v>52445</v>
      </c>
      <c r="D22" s="3">
        <f t="shared" si="8"/>
        <v>62354</v>
      </c>
      <c r="E22" s="3">
        <f t="shared" si="8"/>
        <v>58800</v>
      </c>
    </row>
  </sheetData>
  <mergeCells count="2">
    <mergeCell ref="A1:E1"/>
    <mergeCell ref="A12:E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defaultRowHeight="15" x14ac:dyDescent="0.25"/>
  <cols>
    <col min="2" max="2" width="10.5703125" customWidth="1"/>
  </cols>
  <sheetData>
    <row r="1" spans="1:3" x14ac:dyDescent="0.25">
      <c r="A1" s="39" t="s">
        <v>186</v>
      </c>
      <c r="B1" s="39" t="s">
        <v>58</v>
      </c>
      <c r="C1" s="39" t="s">
        <v>185</v>
      </c>
    </row>
    <row r="2" spans="1:3" x14ac:dyDescent="0.25">
      <c r="A2" s="40" t="s">
        <v>187</v>
      </c>
      <c r="B2" s="41">
        <v>0.17</v>
      </c>
      <c r="C2" s="40">
        <v>12000</v>
      </c>
    </row>
    <row r="3" spans="1:3" x14ac:dyDescent="0.25">
      <c r="A3" s="40" t="s">
        <v>188</v>
      </c>
      <c r="B3" s="41">
        <v>0.1</v>
      </c>
      <c r="C3" s="40">
        <v>14000</v>
      </c>
    </row>
    <row r="4" spans="1:3" x14ac:dyDescent="0.25">
      <c r="A4" s="40" t="s">
        <v>189</v>
      </c>
      <c r="B4" s="41">
        <v>0.17</v>
      </c>
      <c r="C4" s="40">
        <v>1000</v>
      </c>
    </row>
    <row r="5" spans="1:3" x14ac:dyDescent="0.25">
      <c r="A5" s="42" t="s">
        <v>190</v>
      </c>
      <c r="B5" s="43">
        <v>0.1</v>
      </c>
      <c r="C5" s="42">
        <v>15000</v>
      </c>
    </row>
    <row r="6" spans="1:3" x14ac:dyDescent="0.25">
      <c r="A6" s="42" t="s">
        <v>191</v>
      </c>
      <c r="B6" s="43">
        <v>0.17</v>
      </c>
      <c r="C6" s="42">
        <v>14000</v>
      </c>
    </row>
    <row r="9" spans="1:3" x14ac:dyDescent="0.25">
      <c r="A9">
        <f>SUMIF(B2:B6,"=10%",C2:C6)</f>
        <v>29000</v>
      </c>
      <c r="C9">
        <f>SUMIF(C2:C6,"&gt;12000")</f>
        <v>43000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0" zoomScaleNormal="80" workbookViewId="0">
      <selection activeCell="A27" sqref="A27"/>
    </sheetView>
  </sheetViews>
  <sheetFormatPr defaultRowHeight="15" x14ac:dyDescent="0.25"/>
  <cols>
    <col min="1" max="1" width="13.28515625" customWidth="1"/>
  </cols>
  <sheetData>
    <row r="1" spans="1:5" x14ac:dyDescent="0.25">
      <c r="A1" s="45" t="s">
        <v>16</v>
      </c>
      <c r="B1" s="45"/>
      <c r="C1" s="45"/>
      <c r="D1" s="45"/>
      <c r="E1" s="10"/>
    </row>
    <row r="2" spans="1:5" x14ac:dyDescent="0.25">
      <c r="A2" s="4" t="s">
        <v>17</v>
      </c>
      <c r="B2" s="4" t="s">
        <v>18</v>
      </c>
      <c r="C2" s="4" t="s">
        <v>19</v>
      </c>
      <c r="D2" s="4" t="s">
        <v>20</v>
      </c>
    </row>
    <row r="3" spans="1:5" x14ac:dyDescent="0.25">
      <c r="A3" s="4" t="s">
        <v>21</v>
      </c>
      <c r="B3" s="3">
        <v>800</v>
      </c>
      <c r="C3" s="3">
        <v>1400</v>
      </c>
      <c r="D3" s="3">
        <v>1850</v>
      </c>
    </row>
    <row r="4" spans="1:5" x14ac:dyDescent="0.25">
      <c r="A4" s="4" t="s">
        <v>22</v>
      </c>
      <c r="B4" s="3">
        <v>1500</v>
      </c>
      <c r="C4" s="3">
        <v>2250</v>
      </c>
      <c r="D4" s="3">
        <v>3000</v>
      </c>
    </row>
    <row r="5" spans="1:5" x14ac:dyDescent="0.25">
      <c r="A5" s="4" t="s">
        <v>23</v>
      </c>
      <c r="B5" s="3">
        <v>2000</v>
      </c>
      <c r="C5" s="3">
        <v>2000</v>
      </c>
      <c r="D5" s="3">
        <v>2000</v>
      </c>
    </row>
    <row r="6" spans="1:5" x14ac:dyDescent="0.25">
      <c r="A6" s="4" t="s">
        <v>24</v>
      </c>
      <c r="B6" s="3">
        <v>2250</v>
      </c>
      <c r="C6" s="3">
        <v>2750</v>
      </c>
      <c r="D6" s="3">
        <v>2975</v>
      </c>
    </row>
    <row r="7" spans="1:5" x14ac:dyDescent="0.25">
      <c r="A7" s="4" t="s">
        <v>25</v>
      </c>
      <c r="B7" s="3">
        <v>1150</v>
      </c>
      <c r="C7" s="3">
        <v>1450</v>
      </c>
      <c r="D7" s="3">
        <v>1750</v>
      </c>
    </row>
    <row r="9" spans="1:5" x14ac:dyDescent="0.25">
      <c r="A9" s="44" t="s">
        <v>26</v>
      </c>
      <c r="B9" s="44"/>
      <c r="C9" s="44"/>
      <c r="D9" s="44"/>
      <c r="E9" s="44"/>
    </row>
    <row r="10" spans="1:5" x14ac:dyDescent="0.25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27</v>
      </c>
    </row>
    <row r="11" spans="1:5" x14ac:dyDescent="0.25">
      <c r="A11" s="4" t="s">
        <v>21</v>
      </c>
      <c r="B11" s="3">
        <v>360</v>
      </c>
      <c r="C11" s="3">
        <v>270</v>
      </c>
      <c r="D11" s="3">
        <v>320</v>
      </c>
      <c r="E11" s="3">
        <f>SUM(B11:D11)</f>
        <v>950</v>
      </c>
    </row>
    <row r="12" spans="1:5" x14ac:dyDescent="0.25">
      <c r="A12" s="4" t="s">
        <v>22</v>
      </c>
      <c r="B12" s="3">
        <v>70</v>
      </c>
      <c r="C12" s="3">
        <v>195</v>
      </c>
      <c r="D12" s="3">
        <v>280</v>
      </c>
      <c r="E12" s="3">
        <f t="shared" ref="E12:E15" si="0">SUM(B12:D12)</f>
        <v>545</v>
      </c>
    </row>
    <row r="13" spans="1:5" x14ac:dyDescent="0.25">
      <c r="A13" s="4" t="s">
        <v>23</v>
      </c>
      <c r="B13" s="3">
        <v>140</v>
      </c>
      <c r="C13" s="3">
        <v>168</v>
      </c>
      <c r="D13" s="3">
        <v>155</v>
      </c>
      <c r="E13" s="3">
        <f t="shared" si="0"/>
        <v>463</v>
      </c>
    </row>
    <row r="14" spans="1:5" x14ac:dyDescent="0.25">
      <c r="A14" s="4" t="s">
        <v>24</v>
      </c>
      <c r="B14" s="3">
        <v>145</v>
      </c>
      <c r="C14" s="3">
        <v>110</v>
      </c>
      <c r="D14" s="3">
        <v>210</v>
      </c>
      <c r="E14" s="3">
        <f t="shared" si="0"/>
        <v>465</v>
      </c>
    </row>
    <row r="15" spans="1:5" x14ac:dyDescent="0.25">
      <c r="A15" s="4" t="s">
        <v>25</v>
      </c>
      <c r="B15" s="3">
        <v>65</v>
      </c>
      <c r="C15" s="3">
        <v>112</v>
      </c>
      <c r="D15" s="3">
        <v>160</v>
      </c>
      <c r="E15" s="3">
        <f t="shared" si="0"/>
        <v>337</v>
      </c>
    </row>
    <row r="16" spans="1:5" x14ac:dyDescent="0.25">
      <c r="A16" s="4" t="s">
        <v>27</v>
      </c>
      <c r="B16" s="3">
        <f>SUM(B11:B15)</f>
        <v>780</v>
      </c>
      <c r="C16" s="3">
        <f>SUM(C11:C15)</f>
        <v>855</v>
      </c>
      <c r="D16" s="3">
        <f>SUM(D11:D15)</f>
        <v>1125</v>
      </c>
      <c r="E16" s="3">
        <f>SUM(E11:E15)</f>
        <v>2760</v>
      </c>
    </row>
    <row r="18" spans="1:5" x14ac:dyDescent="0.25">
      <c r="A18" s="44" t="s">
        <v>28</v>
      </c>
      <c r="B18" s="44"/>
      <c r="C18" s="44"/>
      <c r="D18" s="44"/>
      <c r="E18" s="44"/>
    </row>
    <row r="19" spans="1:5" x14ac:dyDescent="0.25">
      <c r="A19" s="4" t="s">
        <v>17</v>
      </c>
      <c r="B19" s="4" t="s">
        <v>18</v>
      </c>
      <c r="C19" s="4" t="s">
        <v>19</v>
      </c>
      <c r="D19" s="4" t="s">
        <v>20</v>
      </c>
      <c r="E19" s="4" t="s">
        <v>27</v>
      </c>
    </row>
    <row r="20" spans="1:5" x14ac:dyDescent="0.25">
      <c r="A20" s="4" t="s">
        <v>21</v>
      </c>
      <c r="B20" s="3">
        <f>B3*B11</f>
        <v>288000</v>
      </c>
      <c r="C20" s="3">
        <f>C3*C11</f>
        <v>378000</v>
      </c>
      <c r="D20" s="3">
        <f>D3*D11</f>
        <v>592000</v>
      </c>
      <c r="E20" s="3">
        <f>SUM(B20:D20)</f>
        <v>1258000</v>
      </c>
    </row>
    <row r="21" spans="1:5" x14ac:dyDescent="0.25">
      <c r="A21" s="4" t="s">
        <v>22</v>
      </c>
      <c r="B21" s="3">
        <f t="shared" ref="B21:D23" si="1">B4*B12</f>
        <v>105000</v>
      </c>
      <c r="C21" s="3">
        <f t="shared" si="1"/>
        <v>438750</v>
      </c>
      <c r="D21" s="3">
        <f t="shared" si="1"/>
        <v>840000</v>
      </c>
      <c r="E21" s="3">
        <f t="shared" ref="E21:E24" si="2">SUM(B21:D21)</f>
        <v>1383750</v>
      </c>
    </row>
    <row r="22" spans="1:5" x14ac:dyDescent="0.25">
      <c r="A22" s="4" t="s">
        <v>23</v>
      </c>
      <c r="B22" s="3">
        <f t="shared" si="1"/>
        <v>280000</v>
      </c>
      <c r="C22" s="3">
        <f t="shared" si="1"/>
        <v>336000</v>
      </c>
      <c r="D22" s="3">
        <f t="shared" si="1"/>
        <v>310000</v>
      </c>
      <c r="E22" s="3">
        <f t="shared" si="2"/>
        <v>926000</v>
      </c>
    </row>
    <row r="23" spans="1:5" x14ac:dyDescent="0.25">
      <c r="A23" s="4" t="s">
        <v>24</v>
      </c>
      <c r="B23" s="3">
        <f t="shared" si="1"/>
        <v>326250</v>
      </c>
      <c r="C23" s="3">
        <f t="shared" si="1"/>
        <v>302500</v>
      </c>
      <c r="D23" s="3">
        <f t="shared" si="1"/>
        <v>624750</v>
      </c>
      <c r="E23" s="3">
        <f t="shared" si="2"/>
        <v>1253500</v>
      </c>
    </row>
    <row r="24" spans="1:5" x14ac:dyDescent="0.25">
      <c r="A24" s="4" t="s">
        <v>25</v>
      </c>
      <c r="B24" s="3">
        <f>B7*B15</f>
        <v>74750</v>
      </c>
      <c r="C24" s="3">
        <f t="shared" ref="C24:D24" si="3">C7*C15</f>
        <v>162400</v>
      </c>
      <c r="D24" s="3">
        <f t="shared" si="3"/>
        <v>280000</v>
      </c>
      <c r="E24" s="3">
        <f t="shared" si="2"/>
        <v>517150</v>
      </c>
    </row>
    <row r="25" spans="1:5" x14ac:dyDescent="0.25">
      <c r="A25" s="4" t="s">
        <v>27</v>
      </c>
      <c r="B25" s="3">
        <f>SUM(B20:B24)</f>
        <v>1074000</v>
      </c>
      <c r="C25" s="3">
        <f t="shared" ref="C25:E25" si="4">SUM(C20:C24)</f>
        <v>1617650</v>
      </c>
      <c r="D25" s="3">
        <f t="shared" si="4"/>
        <v>2646750</v>
      </c>
      <c r="E25" s="3">
        <f t="shared" si="4"/>
        <v>5338400</v>
      </c>
    </row>
    <row r="28" spans="1:5" x14ac:dyDescent="0.25">
      <c r="A28" s="4" t="s">
        <v>29</v>
      </c>
      <c r="B28" s="3">
        <f>AVERAGE(B20:B24)</f>
        <v>214800</v>
      </c>
      <c r="C28" s="3">
        <f t="shared" ref="C28:D28" si="5">AVERAGE(C20:C24)</f>
        <v>323530</v>
      </c>
      <c r="D28" s="3">
        <f t="shared" si="5"/>
        <v>529350</v>
      </c>
    </row>
    <row r="29" spans="1:5" x14ac:dyDescent="0.25">
      <c r="A29" s="4" t="s">
        <v>30</v>
      </c>
      <c r="B29" s="3">
        <f xml:space="preserve"> MAX(B20:B24)</f>
        <v>326250</v>
      </c>
      <c r="C29" s="3">
        <f t="shared" ref="C29:D29" si="6" xml:space="preserve"> MAX(C20:C24)</f>
        <v>438750</v>
      </c>
      <c r="D29" s="3">
        <f t="shared" si="6"/>
        <v>840000</v>
      </c>
    </row>
    <row r="30" spans="1:5" x14ac:dyDescent="0.25">
      <c r="A30" s="4" t="s">
        <v>31</v>
      </c>
      <c r="B30" s="3">
        <f>MIN(B20:B24)</f>
        <v>74750</v>
      </c>
      <c r="C30" s="3">
        <f t="shared" ref="C30:D30" si="7">MIN(C20:C24)</f>
        <v>162400</v>
      </c>
      <c r="D30" s="3">
        <f t="shared" si="7"/>
        <v>280000</v>
      </c>
    </row>
  </sheetData>
  <mergeCells count="3">
    <mergeCell ref="A9:E9"/>
    <mergeCell ref="A18:E18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13" sqref="F13"/>
    </sheetView>
  </sheetViews>
  <sheetFormatPr defaultRowHeight="15" x14ac:dyDescent="0.25"/>
  <cols>
    <col min="1" max="1" width="11.5703125" customWidth="1"/>
    <col min="2" max="2" width="17.140625" customWidth="1"/>
    <col min="3" max="3" width="12.28515625" customWidth="1"/>
    <col min="4" max="4" width="10.85546875" customWidth="1"/>
    <col min="5" max="5" width="16.7109375" customWidth="1"/>
    <col min="6" max="6" width="19.7109375" customWidth="1"/>
  </cols>
  <sheetData>
    <row r="1" spans="1:6" ht="21" x14ac:dyDescent="0.35">
      <c r="A1" s="46" t="s">
        <v>57</v>
      </c>
      <c r="B1" s="46"/>
      <c r="C1" s="46"/>
      <c r="D1" s="46"/>
      <c r="E1" s="46"/>
      <c r="F1" s="46"/>
    </row>
    <row r="2" spans="1:6" ht="15.75" thickBot="1" x14ac:dyDescent="0.3">
      <c r="A2" s="11"/>
      <c r="B2" s="11"/>
      <c r="C2" s="11"/>
      <c r="D2" s="11"/>
      <c r="E2" s="11"/>
      <c r="F2" s="11"/>
    </row>
    <row r="3" spans="1:6" ht="15.75" thickBot="1" x14ac:dyDescent="0.3">
      <c r="A3" s="11"/>
      <c r="B3" s="11"/>
      <c r="C3" s="11"/>
      <c r="D3" s="11"/>
      <c r="E3" s="12" t="s">
        <v>58</v>
      </c>
      <c r="F3" s="50">
        <v>0.19600000000000001</v>
      </c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3" t="s">
        <v>59</v>
      </c>
      <c r="B5" s="13" t="s">
        <v>60</v>
      </c>
      <c r="C5" s="13" t="s">
        <v>80</v>
      </c>
      <c r="D5" s="13" t="s">
        <v>61</v>
      </c>
      <c r="E5" s="13" t="s">
        <v>81</v>
      </c>
      <c r="F5" s="13" t="s">
        <v>82</v>
      </c>
    </row>
    <row r="6" spans="1:6" x14ac:dyDescent="0.25">
      <c r="A6" s="14" t="s">
        <v>62</v>
      </c>
      <c r="B6" s="14" t="s">
        <v>63</v>
      </c>
      <c r="C6" s="15">
        <v>0.93</v>
      </c>
      <c r="D6" s="15">
        <v>0.15</v>
      </c>
      <c r="E6" s="16">
        <f>C6*(1-D6)</f>
        <v>0.79049999999999998</v>
      </c>
      <c r="F6" s="3">
        <f>E6*(1+$F$3)</f>
        <v>0.94543799999999989</v>
      </c>
    </row>
    <row r="7" spans="1:6" x14ac:dyDescent="0.25">
      <c r="A7" s="14" t="s">
        <v>64</v>
      </c>
      <c r="B7" s="14" t="s">
        <v>65</v>
      </c>
      <c r="C7" s="15">
        <v>11.07</v>
      </c>
      <c r="D7" s="15">
        <v>0.12</v>
      </c>
      <c r="E7" s="14">
        <f t="shared" ref="E7:E13" si="0">C7*(1-D7)</f>
        <v>9.7416</v>
      </c>
      <c r="F7" s="3">
        <f t="shared" ref="F7:F13" si="1">E7*(1+$F$3)</f>
        <v>11.650953599999999</v>
      </c>
    </row>
    <row r="8" spans="1:6" x14ac:dyDescent="0.25">
      <c r="A8" s="14" t="s">
        <v>66</v>
      </c>
      <c r="B8" s="14" t="s">
        <v>67</v>
      </c>
      <c r="C8" s="15">
        <v>0.66</v>
      </c>
      <c r="D8" s="15">
        <v>0.25</v>
      </c>
      <c r="E8" s="14">
        <f t="shared" si="0"/>
        <v>0.495</v>
      </c>
      <c r="F8" s="3">
        <f t="shared" si="1"/>
        <v>0.59201999999999999</v>
      </c>
    </row>
    <row r="9" spans="1:6" x14ac:dyDescent="0.25">
      <c r="A9" s="14" t="s">
        <v>68</v>
      </c>
      <c r="B9" s="14" t="s">
        <v>69</v>
      </c>
      <c r="C9" s="15">
        <v>0.76</v>
      </c>
      <c r="D9" s="15">
        <v>0.12</v>
      </c>
      <c r="E9" s="14">
        <f t="shared" si="0"/>
        <v>0.66880000000000006</v>
      </c>
      <c r="F9" s="3">
        <f t="shared" si="1"/>
        <v>0.79988480000000006</v>
      </c>
    </row>
    <row r="10" spans="1:6" x14ac:dyDescent="0.25">
      <c r="A10" s="14" t="s">
        <v>70</v>
      </c>
      <c r="B10" s="14" t="s">
        <v>71</v>
      </c>
      <c r="C10" s="15">
        <v>1.65</v>
      </c>
      <c r="D10" s="15">
        <v>0.14000000000000001</v>
      </c>
      <c r="E10" s="14">
        <f t="shared" si="0"/>
        <v>1.4189999999999998</v>
      </c>
      <c r="F10" s="3">
        <f t="shared" si="1"/>
        <v>1.6971239999999996</v>
      </c>
    </row>
    <row r="11" spans="1:6" x14ac:dyDescent="0.25">
      <c r="A11" s="14" t="s">
        <v>72</v>
      </c>
      <c r="B11" s="14" t="s">
        <v>73</v>
      </c>
      <c r="C11" s="15">
        <v>9.9499999999999993</v>
      </c>
      <c r="D11" s="15">
        <v>0.2</v>
      </c>
      <c r="E11" s="14">
        <f t="shared" si="0"/>
        <v>7.96</v>
      </c>
      <c r="F11" s="3">
        <f t="shared" si="1"/>
        <v>9.5201599999999988</v>
      </c>
    </row>
    <row r="12" spans="1:6" x14ac:dyDescent="0.25">
      <c r="A12" s="14" t="s">
        <v>74</v>
      </c>
      <c r="B12" s="14" t="s">
        <v>75</v>
      </c>
      <c r="C12" s="15">
        <v>2.57</v>
      </c>
      <c r="D12" s="15">
        <v>0.33</v>
      </c>
      <c r="E12" s="14">
        <f t="shared" si="0"/>
        <v>1.7218999999999998</v>
      </c>
      <c r="F12" s="3">
        <f t="shared" si="1"/>
        <v>2.0593923999999997</v>
      </c>
    </row>
    <row r="13" spans="1:6" x14ac:dyDescent="0.25">
      <c r="A13" s="14" t="s">
        <v>76</v>
      </c>
      <c r="B13" s="14" t="s">
        <v>77</v>
      </c>
      <c r="C13" s="15">
        <v>0.66</v>
      </c>
      <c r="D13" s="15">
        <v>0.25</v>
      </c>
      <c r="E13" s="14">
        <f t="shared" si="0"/>
        <v>0.495</v>
      </c>
      <c r="F13" s="3">
        <f t="shared" si="1"/>
        <v>0.59201999999999999</v>
      </c>
    </row>
    <row r="14" spans="1:6" x14ac:dyDescent="0.25">
      <c r="E14" s="29" t="s">
        <v>49</v>
      </c>
      <c r="F14" s="3">
        <f>SUM(F6:F13)</f>
        <v>27.856992799999997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3" sqref="C13"/>
    </sheetView>
  </sheetViews>
  <sheetFormatPr defaultRowHeight="15" x14ac:dyDescent="0.25"/>
  <cols>
    <col min="1" max="1" width="10.28515625" customWidth="1"/>
    <col min="2" max="2" width="17.85546875" customWidth="1"/>
    <col min="3" max="4" width="10.7109375" customWidth="1"/>
    <col min="5" max="6" width="10" customWidth="1"/>
    <col min="7" max="7" width="10.5703125" customWidth="1"/>
    <col min="8" max="8" width="10.85546875" customWidth="1"/>
    <col min="9" max="9" width="11.5703125" customWidth="1"/>
    <col min="10" max="10" width="10.85546875" customWidth="1"/>
    <col min="12" max="12" width="9.140625" customWidth="1"/>
  </cols>
  <sheetData>
    <row r="1" spans="1:10" ht="22.5" x14ac:dyDescent="0.3">
      <c r="A1" s="47" t="s">
        <v>179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x14ac:dyDescent="0.25">
      <c r="A3" s="11"/>
      <c r="B3" s="11"/>
      <c r="C3" s="38" t="s">
        <v>175</v>
      </c>
      <c r="D3" s="38" t="s">
        <v>174</v>
      </c>
      <c r="E3" s="38" t="s">
        <v>173</v>
      </c>
      <c r="F3" s="38" t="s">
        <v>172</v>
      </c>
      <c r="G3" s="38" t="s">
        <v>171</v>
      </c>
      <c r="H3" s="38" t="s">
        <v>170</v>
      </c>
      <c r="I3" s="38" t="s">
        <v>169</v>
      </c>
      <c r="J3" s="11"/>
    </row>
    <row r="4" spans="1:10" ht="15.75" x14ac:dyDescent="0.25">
      <c r="A4" s="11"/>
      <c r="B4" s="37" t="s">
        <v>178</v>
      </c>
      <c r="C4" s="33">
        <v>8</v>
      </c>
      <c r="D4" s="14">
        <v>10</v>
      </c>
      <c r="E4" s="14">
        <v>10</v>
      </c>
      <c r="F4" s="14">
        <v>10</v>
      </c>
      <c r="G4" s="14">
        <v>8</v>
      </c>
      <c r="H4" s="14">
        <v>6</v>
      </c>
      <c r="I4" s="14">
        <v>0</v>
      </c>
      <c r="J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75" x14ac:dyDescent="0.25">
      <c r="A6" s="36" t="s">
        <v>177</v>
      </c>
      <c r="B6" s="35" t="s">
        <v>176</v>
      </c>
      <c r="C6" s="35" t="s">
        <v>175</v>
      </c>
      <c r="D6" s="35" t="s">
        <v>174</v>
      </c>
      <c r="E6" s="35" t="s">
        <v>173</v>
      </c>
      <c r="F6" s="35" t="s">
        <v>172</v>
      </c>
      <c r="G6" s="35" t="s">
        <v>171</v>
      </c>
      <c r="H6" s="35" t="s">
        <v>170</v>
      </c>
      <c r="I6" s="35" t="s">
        <v>169</v>
      </c>
      <c r="J6" s="35" t="s">
        <v>159</v>
      </c>
    </row>
    <row r="7" spans="1:10" ht="15.75" x14ac:dyDescent="0.25">
      <c r="A7" s="33" t="s">
        <v>168</v>
      </c>
      <c r="B7" s="34">
        <v>100</v>
      </c>
      <c r="C7" s="34">
        <f t="shared" ref="C7:I12" si="0">$B7*C$4</f>
        <v>800</v>
      </c>
      <c r="D7" s="34">
        <f t="shared" si="0"/>
        <v>1000</v>
      </c>
      <c r="E7" s="34">
        <f t="shared" si="0"/>
        <v>1000</v>
      </c>
      <c r="F7" s="34">
        <f t="shared" si="0"/>
        <v>1000</v>
      </c>
      <c r="G7" s="34">
        <f t="shared" si="0"/>
        <v>800</v>
      </c>
      <c r="H7" s="34">
        <f t="shared" si="0"/>
        <v>600</v>
      </c>
      <c r="I7" s="34">
        <f t="shared" si="0"/>
        <v>0</v>
      </c>
      <c r="J7" s="31">
        <f>SUM(C7:I7)</f>
        <v>5200</v>
      </c>
    </row>
    <row r="8" spans="1:10" ht="15.75" x14ac:dyDescent="0.25">
      <c r="A8" s="33" t="s">
        <v>167</v>
      </c>
      <c r="B8" s="11">
        <v>150</v>
      </c>
      <c r="C8" s="34">
        <f t="shared" si="0"/>
        <v>1200</v>
      </c>
      <c r="D8" s="34">
        <f t="shared" si="0"/>
        <v>1500</v>
      </c>
      <c r="E8" s="34">
        <f t="shared" si="0"/>
        <v>1500</v>
      </c>
      <c r="F8" s="34">
        <f t="shared" si="0"/>
        <v>1500</v>
      </c>
      <c r="G8" s="34">
        <f t="shared" si="0"/>
        <v>1200</v>
      </c>
      <c r="H8" s="34">
        <f t="shared" si="0"/>
        <v>900</v>
      </c>
      <c r="I8" s="34">
        <f t="shared" si="0"/>
        <v>0</v>
      </c>
      <c r="J8" s="31">
        <f t="shared" ref="J8:J13" si="1">SUM(C8:I8)</f>
        <v>7800</v>
      </c>
    </row>
    <row r="9" spans="1:10" ht="15.75" x14ac:dyDescent="0.25">
      <c r="A9" s="33" t="s">
        <v>166</v>
      </c>
      <c r="B9" s="11">
        <v>75</v>
      </c>
      <c r="C9" s="34">
        <f t="shared" si="0"/>
        <v>600</v>
      </c>
      <c r="D9" s="34">
        <f t="shared" si="0"/>
        <v>750</v>
      </c>
      <c r="E9" s="34">
        <f t="shared" si="0"/>
        <v>750</v>
      </c>
      <c r="F9" s="34">
        <f t="shared" si="0"/>
        <v>750</v>
      </c>
      <c r="G9" s="34">
        <f t="shared" si="0"/>
        <v>600</v>
      </c>
      <c r="H9" s="34">
        <f t="shared" si="0"/>
        <v>450</v>
      </c>
      <c r="I9" s="34">
        <f t="shared" si="0"/>
        <v>0</v>
      </c>
      <c r="J9" s="31">
        <f t="shared" si="1"/>
        <v>3900</v>
      </c>
    </row>
    <row r="10" spans="1:10" ht="15.75" x14ac:dyDescent="0.25">
      <c r="A10" s="33" t="s">
        <v>165</v>
      </c>
      <c r="B10" s="11">
        <v>98</v>
      </c>
      <c r="C10" s="34">
        <f t="shared" si="0"/>
        <v>784</v>
      </c>
      <c r="D10" s="34">
        <f t="shared" si="0"/>
        <v>980</v>
      </c>
      <c r="E10" s="34">
        <f t="shared" si="0"/>
        <v>980</v>
      </c>
      <c r="F10" s="34">
        <f t="shared" si="0"/>
        <v>980</v>
      </c>
      <c r="G10" s="34">
        <f t="shared" si="0"/>
        <v>784</v>
      </c>
      <c r="H10" s="34">
        <f t="shared" si="0"/>
        <v>588</v>
      </c>
      <c r="I10" s="34">
        <f t="shared" si="0"/>
        <v>0</v>
      </c>
      <c r="J10" s="31">
        <f t="shared" si="1"/>
        <v>5096</v>
      </c>
    </row>
    <row r="11" spans="1:10" ht="15.75" x14ac:dyDescent="0.25">
      <c r="A11" s="33" t="s">
        <v>164</v>
      </c>
      <c r="B11" s="11">
        <v>102</v>
      </c>
      <c r="C11" s="34">
        <f t="shared" si="0"/>
        <v>816</v>
      </c>
      <c r="D11" s="34">
        <f t="shared" si="0"/>
        <v>1020</v>
      </c>
      <c r="E11" s="34">
        <f t="shared" si="0"/>
        <v>1020</v>
      </c>
      <c r="F11" s="34">
        <f t="shared" si="0"/>
        <v>1020</v>
      </c>
      <c r="G11" s="34">
        <f t="shared" si="0"/>
        <v>816</v>
      </c>
      <c r="H11" s="34">
        <f t="shared" si="0"/>
        <v>612</v>
      </c>
      <c r="I11" s="34">
        <f t="shared" si="0"/>
        <v>0</v>
      </c>
      <c r="J11" s="31">
        <f t="shared" si="1"/>
        <v>5304</v>
      </c>
    </row>
    <row r="12" spans="1:10" ht="15.75" x14ac:dyDescent="0.25">
      <c r="A12" s="33" t="s">
        <v>163</v>
      </c>
      <c r="B12" s="11">
        <v>123</v>
      </c>
      <c r="C12" s="34">
        <f t="shared" si="0"/>
        <v>984</v>
      </c>
      <c r="D12" s="34">
        <f t="shared" si="0"/>
        <v>1230</v>
      </c>
      <c r="E12" s="34">
        <f t="shared" si="0"/>
        <v>1230</v>
      </c>
      <c r="F12" s="34">
        <f t="shared" si="0"/>
        <v>1230</v>
      </c>
      <c r="G12" s="34">
        <f t="shared" si="0"/>
        <v>984</v>
      </c>
      <c r="H12" s="34">
        <f t="shared" si="0"/>
        <v>738</v>
      </c>
      <c r="I12" s="34">
        <f t="shared" si="0"/>
        <v>0</v>
      </c>
      <c r="J12" s="31">
        <f t="shared" si="1"/>
        <v>6396</v>
      </c>
    </row>
    <row r="13" spans="1:10" ht="15.75" x14ac:dyDescent="0.25">
      <c r="A13" s="33" t="s">
        <v>162</v>
      </c>
      <c r="B13" s="11">
        <f t="shared" ref="B13:I13" si="2">SUM(B7:B12)</f>
        <v>648</v>
      </c>
      <c r="C13" s="32">
        <f t="shared" si="2"/>
        <v>5184</v>
      </c>
      <c r="D13" s="32">
        <f t="shared" si="2"/>
        <v>6480</v>
      </c>
      <c r="E13" s="32">
        <f t="shared" si="2"/>
        <v>6480</v>
      </c>
      <c r="F13" s="32">
        <f t="shared" si="2"/>
        <v>6480</v>
      </c>
      <c r="G13" s="32">
        <f t="shared" si="2"/>
        <v>5184</v>
      </c>
      <c r="H13" s="32">
        <f t="shared" si="2"/>
        <v>3888</v>
      </c>
      <c r="I13" s="32">
        <f t="shared" si="2"/>
        <v>0</v>
      </c>
      <c r="J13" s="31">
        <f t="shared" si="1"/>
        <v>33696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2" sqref="B12"/>
    </sheetView>
  </sheetViews>
  <sheetFormatPr defaultRowHeight="15" x14ac:dyDescent="0.25"/>
  <cols>
    <col min="1" max="1" width="14.85546875" customWidth="1"/>
    <col min="2" max="2" width="9.42578125" customWidth="1"/>
    <col min="3" max="3" width="13" customWidth="1"/>
    <col min="4" max="4" width="12.42578125" customWidth="1"/>
    <col min="5" max="5" width="17" customWidth="1"/>
    <col min="6" max="6" width="18.7109375" customWidth="1"/>
    <col min="7" max="7" width="13.140625" customWidth="1"/>
    <col min="9" max="9" width="16.85546875" customWidth="1"/>
  </cols>
  <sheetData>
    <row r="1" spans="1:9" x14ac:dyDescent="0.25">
      <c r="A1" s="44" t="s">
        <v>32</v>
      </c>
      <c r="B1" s="44"/>
      <c r="C1" s="44"/>
      <c r="D1" s="44"/>
      <c r="E1" s="44"/>
      <c r="F1" s="44"/>
      <c r="G1" s="44"/>
    </row>
    <row r="3" spans="1:9" x14ac:dyDescent="0.25">
      <c r="A3" s="1"/>
      <c r="B3" s="1"/>
      <c r="C3" s="1" t="s">
        <v>33</v>
      </c>
      <c r="D3" s="8">
        <v>0.17</v>
      </c>
    </row>
    <row r="5" spans="1:9" x14ac:dyDescent="0.25">
      <c r="A5" s="4" t="s">
        <v>34</v>
      </c>
      <c r="B5" s="4" t="s">
        <v>35</v>
      </c>
      <c r="C5" s="4" t="s">
        <v>20</v>
      </c>
      <c r="D5" s="4" t="s">
        <v>36</v>
      </c>
      <c r="E5" s="4" t="s">
        <v>43</v>
      </c>
      <c r="F5" s="4" t="s">
        <v>79</v>
      </c>
      <c r="G5" s="4" t="s">
        <v>37</v>
      </c>
    </row>
    <row r="6" spans="1:9" x14ac:dyDescent="0.25">
      <c r="A6" s="4" t="s">
        <v>38</v>
      </c>
      <c r="B6" s="3">
        <v>157500</v>
      </c>
      <c r="C6" s="3">
        <v>157500</v>
      </c>
      <c r="D6" s="3">
        <v>165000</v>
      </c>
      <c r="E6" s="3">
        <f>SUM(B6:D6)</f>
        <v>480000</v>
      </c>
      <c r="F6" s="3">
        <f>E6*$D$3</f>
        <v>81600</v>
      </c>
      <c r="G6" s="3">
        <f>E6+F6</f>
        <v>561600</v>
      </c>
    </row>
    <row r="7" spans="1:9" x14ac:dyDescent="0.25">
      <c r="A7" s="4" t="s">
        <v>39</v>
      </c>
      <c r="B7" s="3">
        <v>37350</v>
      </c>
      <c r="C7" s="3">
        <v>12000</v>
      </c>
      <c r="D7" s="3">
        <v>24000</v>
      </c>
      <c r="E7" s="3">
        <f t="shared" ref="E7:E12" si="0">SUM(B7:D7)</f>
        <v>73350</v>
      </c>
      <c r="F7" s="3">
        <f t="shared" ref="F7:F10" si="1">E7*$D$3</f>
        <v>12469.5</v>
      </c>
      <c r="G7" s="3">
        <f t="shared" ref="G7:G11" si="2">E7+F7</f>
        <v>85819.5</v>
      </c>
    </row>
    <row r="8" spans="1:9" x14ac:dyDescent="0.25">
      <c r="A8" s="4" t="s">
        <v>40</v>
      </c>
      <c r="B8" s="3">
        <v>40000</v>
      </c>
      <c r="C8" s="3">
        <v>25000</v>
      </c>
      <c r="D8" s="3">
        <v>65000</v>
      </c>
      <c r="E8" s="3">
        <f t="shared" si="0"/>
        <v>130000</v>
      </c>
      <c r="F8" s="3">
        <f t="shared" si="1"/>
        <v>22100</v>
      </c>
      <c r="G8" s="3">
        <f t="shared" si="2"/>
        <v>152100</v>
      </c>
    </row>
    <row r="9" spans="1:9" x14ac:dyDescent="0.25">
      <c r="A9" s="4" t="s">
        <v>41</v>
      </c>
      <c r="B9" s="3">
        <v>85000</v>
      </c>
      <c r="C9" s="3">
        <v>85000</v>
      </c>
      <c r="D9" s="3">
        <v>85000</v>
      </c>
      <c r="E9" s="3">
        <f t="shared" si="0"/>
        <v>255000</v>
      </c>
      <c r="F9" s="3">
        <f t="shared" si="1"/>
        <v>43350</v>
      </c>
      <c r="G9" s="3">
        <f t="shared" si="2"/>
        <v>298350</v>
      </c>
    </row>
    <row r="10" spans="1:9" x14ac:dyDescent="0.25">
      <c r="A10" s="4" t="s">
        <v>42</v>
      </c>
      <c r="B10" s="3">
        <v>15000</v>
      </c>
      <c r="C10" s="3">
        <v>12500</v>
      </c>
      <c r="D10" s="3">
        <v>25000</v>
      </c>
      <c r="E10" s="3">
        <f t="shared" si="0"/>
        <v>52500</v>
      </c>
      <c r="F10" s="3">
        <f t="shared" si="1"/>
        <v>8925</v>
      </c>
      <c r="G10" s="3">
        <f t="shared" si="2"/>
        <v>61425</v>
      </c>
    </row>
    <row r="11" spans="1:9" x14ac:dyDescent="0.25">
      <c r="A11" s="4" t="s">
        <v>44</v>
      </c>
      <c r="B11" s="3">
        <f>SUM(B6:B10)</f>
        <v>334850</v>
      </c>
      <c r="C11" s="3">
        <f>SUM(C6:C10)</f>
        <v>292000</v>
      </c>
      <c r="D11" s="3">
        <f>SUM(D6:D10)</f>
        <v>364000</v>
      </c>
      <c r="E11" s="3">
        <f t="shared" si="0"/>
        <v>990850</v>
      </c>
      <c r="F11" s="3">
        <f>E11*$D$3</f>
        <v>168444.5</v>
      </c>
      <c r="G11" s="3">
        <f t="shared" si="2"/>
        <v>1159294.5</v>
      </c>
      <c r="I11">
        <f>SUM(G6:G10)</f>
        <v>1159294.5</v>
      </c>
    </row>
    <row r="12" spans="1:9" x14ac:dyDescent="0.25">
      <c r="A12" s="4" t="s">
        <v>78</v>
      </c>
      <c r="B12" s="3">
        <f>B11*$D$3</f>
        <v>56924.500000000007</v>
      </c>
      <c r="C12" s="3">
        <f t="shared" ref="C12:D12" si="3">C11*$D$3</f>
        <v>49640</v>
      </c>
      <c r="D12" s="3">
        <f t="shared" si="3"/>
        <v>61880.000000000007</v>
      </c>
      <c r="E12" s="3">
        <f t="shared" si="0"/>
        <v>168444.5</v>
      </c>
      <c r="F12" s="30"/>
      <c r="G12" s="30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6" sqref="C16"/>
    </sheetView>
  </sheetViews>
  <sheetFormatPr defaultRowHeight="15" x14ac:dyDescent="0.25"/>
  <cols>
    <col min="1" max="1" width="11.28515625" customWidth="1"/>
    <col min="2" max="2" width="18.42578125" customWidth="1"/>
    <col min="3" max="3" width="17" customWidth="1"/>
    <col min="4" max="4" width="15.42578125" customWidth="1"/>
    <col min="5" max="5" width="16.140625" customWidth="1"/>
  </cols>
  <sheetData>
    <row r="1" spans="1:4" ht="23.25" x14ac:dyDescent="0.35">
      <c r="A1" s="48" t="s">
        <v>0</v>
      </c>
      <c r="B1" s="48"/>
      <c r="C1" s="48"/>
      <c r="D1" s="48"/>
    </row>
    <row r="3" spans="1:4" x14ac:dyDescent="0.25">
      <c r="A3" s="2" t="s">
        <v>1</v>
      </c>
      <c r="B3" s="2" t="s">
        <v>2</v>
      </c>
      <c r="C3" s="2" t="s">
        <v>12</v>
      </c>
      <c r="D3" s="7" t="s">
        <v>15</v>
      </c>
    </row>
    <row r="4" spans="1:4" x14ac:dyDescent="0.25">
      <c r="A4" s="4" t="s">
        <v>3</v>
      </c>
      <c r="B4" s="3">
        <v>12</v>
      </c>
      <c r="C4" s="3" t="str">
        <f>IF(B4&gt;=10,"L'élève passe", "L'élève redouble")</f>
        <v>L'élève passe</v>
      </c>
      <c r="D4" s="3" t="str">
        <f t="shared" ref="D4:D12" si="0">IF(B4&gt;=10, "L'élève passe", IF(B4&gt;=9.5, "Cas à étudier", "L'élève redouble"))</f>
        <v>L'élève passe</v>
      </c>
    </row>
    <row r="5" spans="1:4" x14ac:dyDescent="0.25">
      <c r="A5" s="4" t="s">
        <v>4</v>
      </c>
      <c r="B5" s="3">
        <v>12</v>
      </c>
      <c r="C5" s="3" t="str">
        <f t="shared" ref="C5:C12" si="1">IF(B5&gt;=10,"L'élève passe", "L'élève redouble")</f>
        <v>L'élève passe</v>
      </c>
      <c r="D5" s="3" t="str">
        <f t="shared" si="0"/>
        <v>L'élève passe</v>
      </c>
    </row>
    <row r="6" spans="1:4" x14ac:dyDescent="0.25">
      <c r="A6" s="4" t="s">
        <v>5</v>
      </c>
      <c r="B6" s="3">
        <v>8</v>
      </c>
      <c r="C6" s="3" t="str">
        <f t="shared" si="1"/>
        <v>L'élève redouble</v>
      </c>
      <c r="D6" s="3" t="str">
        <f t="shared" si="0"/>
        <v>L'élève redouble</v>
      </c>
    </row>
    <row r="7" spans="1:4" x14ac:dyDescent="0.25">
      <c r="A7" s="4" t="s">
        <v>6</v>
      </c>
      <c r="B7" s="3">
        <v>9.6</v>
      </c>
      <c r="C7" s="3" t="str">
        <f t="shared" si="1"/>
        <v>L'élève redouble</v>
      </c>
      <c r="D7" s="3" t="str">
        <f t="shared" si="0"/>
        <v>Cas à étudier</v>
      </c>
    </row>
    <row r="8" spans="1:4" x14ac:dyDescent="0.25">
      <c r="A8" s="4" t="s">
        <v>7</v>
      </c>
      <c r="B8" s="3">
        <v>14</v>
      </c>
      <c r="C8" s="3" t="str">
        <f t="shared" si="1"/>
        <v>L'élève passe</v>
      </c>
      <c r="D8" s="3" t="str">
        <f t="shared" si="0"/>
        <v>L'élève passe</v>
      </c>
    </row>
    <row r="9" spans="1:4" x14ac:dyDescent="0.25">
      <c r="A9" s="4" t="s">
        <v>8</v>
      </c>
      <c r="B9" s="3">
        <v>12</v>
      </c>
      <c r="C9" s="3" t="str">
        <f t="shared" si="1"/>
        <v>L'élève passe</v>
      </c>
      <c r="D9" s="3" t="str">
        <f t="shared" si="0"/>
        <v>L'élève passe</v>
      </c>
    </row>
    <row r="10" spans="1:4" x14ac:dyDescent="0.25">
      <c r="A10" s="4" t="s">
        <v>9</v>
      </c>
      <c r="B10" s="3">
        <v>9.8000000000000007</v>
      </c>
      <c r="C10" s="3" t="str">
        <f t="shared" si="1"/>
        <v>L'élève redouble</v>
      </c>
      <c r="D10" s="3" t="str">
        <f t="shared" si="0"/>
        <v>Cas à étudier</v>
      </c>
    </row>
    <row r="11" spans="1:4" x14ac:dyDescent="0.25">
      <c r="A11" s="4" t="s">
        <v>10</v>
      </c>
      <c r="B11" s="3">
        <v>13</v>
      </c>
      <c r="C11" s="3" t="str">
        <f t="shared" si="1"/>
        <v>L'élève passe</v>
      </c>
      <c r="D11" s="3" t="str">
        <f t="shared" si="0"/>
        <v>L'élève passe</v>
      </c>
    </row>
    <row r="12" spans="1:4" x14ac:dyDescent="0.25">
      <c r="A12" s="4" t="s">
        <v>11</v>
      </c>
      <c r="B12" s="3">
        <v>9</v>
      </c>
      <c r="C12" s="3" t="str">
        <f t="shared" si="1"/>
        <v>L'élève redouble</v>
      </c>
      <c r="D12" s="3" t="str">
        <f t="shared" si="0"/>
        <v>L'élève redouble</v>
      </c>
    </row>
    <row r="14" spans="1:4" x14ac:dyDescent="0.25">
      <c r="B14" s="1" t="s">
        <v>13</v>
      </c>
      <c r="C14" s="5" t="str">
        <f>COUNTIF(D4:D12,  "L'élève passe") &amp; " admis"</f>
        <v>5 admis</v>
      </c>
    </row>
    <row r="15" spans="1:4" x14ac:dyDescent="0.25">
      <c r="B15" s="1" t="s">
        <v>14</v>
      </c>
      <c r="C15" t="str">
        <f xml:space="preserve"> COUNTIF(D4:D12, "L'élève redouble") &amp; " redoublant"</f>
        <v>2 redoublant</v>
      </c>
    </row>
    <row r="16" spans="1:4" x14ac:dyDescent="0.25">
      <c r="B16" s="1" t="s">
        <v>15</v>
      </c>
      <c r="C16" s="6" t="str">
        <f>COUNTIF(D4:D12,"Cas à étudier") &amp; " cas à étudier"</f>
        <v>2 cas à étudier</v>
      </c>
    </row>
  </sheetData>
  <mergeCells count="1">
    <mergeCell ref="A1:D1"/>
  </mergeCells>
  <conditionalFormatting sqref="C14 C4:D12">
    <cfRule type="cellIs" dxfId="2" priority="2" operator="equal">
      <formula>$D$7</formula>
    </cfRule>
    <cfRule type="cellIs" dxfId="1" priority="3" operator="equal">
      <formula>$D$6</formula>
    </cfRule>
  </conditionalFormatting>
  <conditionalFormatting sqref="C4:C12">
    <cfRule type="cellIs" dxfId="0" priority="1" operator="equal">
      <formula>$C$6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" sqref="D2"/>
    </sheetView>
  </sheetViews>
  <sheetFormatPr defaultRowHeight="15" x14ac:dyDescent="0.25"/>
  <cols>
    <col min="1" max="1" width="13.140625" customWidth="1"/>
    <col min="2" max="2" width="14.5703125" customWidth="1"/>
    <col min="3" max="3" width="11.140625" customWidth="1"/>
    <col min="4" max="4" width="11.5703125" customWidth="1"/>
  </cols>
  <sheetData>
    <row r="1" spans="1:4" ht="30" x14ac:dyDescent="0.25">
      <c r="A1" s="20" t="s">
        <v>83</v>
      </c>
      <c r="B1" s="21" t="s">
        <v>84</v>
      </c>
      <c r="C1" s="21" t="s">
        <v>85</v>
      </c>
      <c r="D1" s="21" t="s">
        <v>97</v>
      </c>
    </row>
    <row r="2" spans="1:4" x14ac:dyDescent="0.25">
      <c r="A2" s="17" t="s">
        <v>86</v>
      </c>
      <c r="B2" s="18">
        <v>8000</v>
      </c>
      <c r="C2" s="19" t="str">
        <f>IF(B2&gt;10000,"OUI","NON")</f>
        <v>NON</v>
      </c>
      <c r="D2" s="17">
        <f>IF(C2="OUI",B2*3%,0)</f>
        <v>0</v>
      </c>
    </row>
    <row r="3" spans="1:4" x14ac:dyDescent="0.25">
      <c r="A3" s="17" t="s">
        <v>87</v>
      </c>
      <c r="B3" s="18">
        <v>7500</v>
      </c>
      <c r="C3" s="19" t="str">
        <f t="shared" ref="C3:C8" si="0">IF(B3&gt;10000,"OUI","NON")</f>
        <v>NON</v>
      </c>
      <c r="D3" s="17">
        <f t="shared" ref="D3:D8" si="1">IF(C3="OUI",B3*3%,0)</f>
        <v>0</v>
      </c>
    </row>
    <row r="4" spans="1:4" x14ac:dyDescent="0.25">
      <c r="A4" s="17" t="s">
        <v>88</v>
      </c>
      <c r="B4" s="18">
        <v>18500</v>
      </c>
      <c r="C4" s="19" t="str">
        <f t="shared" si="0"/>
        <v>OUI</v>
      </c>
      <c r="D4" s="17">
        <f t="shared" si="1"/>
        <v>555</v>
      </c>
    </row>
    <row r="5" spans="1:4" x14ac:dyDescent="0.25">
      <c r="A5" s="17" t="s">
        <v>89</v>
      </c>
      <c r="B5" s="18">
        <v>12600</v>
      </c>
      <c r="C5" s="19" t="str">
        <f t="shared" si="0"/>
        <v>OUI</v>
      </c>
      <c r="D5" s="17">
        <f t="shared" si="1"/>
        <v>378</v>
      </c>
    </row>
    <row r="6" spans="1:4" x14ac:dyDescent="0.25">
      <c r="A6" s="17" t="s">
        <v>90</v>
      </c>
      <c r="B6" s="18">
        <v>6000</v>
      </c>
      <c r="C6" s="19" t="str">
        <f t="shared" si="0"/>
        <v>NON</v>
      </c>
      <c r="D6" s="17">
        <f t="shared" si="1"/>
        <v>0</v>
      </c>
    </row>
    <row r="7" spans="1:4" x14ac:dyDescent="0.25">
      <c r="A7" s="17" t="s">
        <v>91</v>
      </c>
      <c r="B7" s="18">
        <v>14000</v>
      </c>
      <c r="C7" s="19" t="str">
        <f t="shared" si="0"/>
        <v>OUI</v>
      </c>
      <c r="D7" s="17">
        <f t="shared" si="1"/>
        <v>420</v>
      </c>
    </row>
    <row r="8" spans="1:4" x14ac:dyDescent="0.25">
      <c r="A8" s="17" t="s">
        <v>92</v>
      </c>
      <c r="B8" s="18">
        <v>14000</v>
      </c>
      <c r="C8" s="19" t="str">
        <f t="shared" si="0"/>
        <v>OUI</v>
      </c>
      <c r="D8" s="17">
        <f t="shared" si="1"/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16.140625" customWidth="1"/>
    <col min="3" max="3" width="14.5703125" customWidth="1"/>
  </cols>
  <sheetData>
    <row r="1" spans="1:3" x14ac:dyDescent="0.25">
      <c r="A1" s="4" t="s">
        <v>98</v>
      </c>
      <c r="B1" s="4" t="s">
        <v>99</v>
      </c>
      <c r="C1" s="4" t="s">
        <v>100</v>
      </c>
    </row>
    <row r="2" spans="1:3" x14ac:dyDescent="0.25">
      <c r="A2" s="3" t="s">
        <v>101</v>
      </c>
      <c r="B2" s="3">
        <v>2</v>
      </c>
      <c r="C2" s="3">
        <f>IF(B2=1, 5%,19.5%)</f>
        <v>0.19500000000000001</v>
      </c>
    </row>
    <row r="3" spans="1:3" x14ac:dyDescent="0.25">
      <c r="A3" s="3" t="s">
        <v>102</v>
      </c>
      <c r="B3" s="3">
        <v>2</v>
      </c>
      <c r="C3" s="3">
        <f t="shared" ref="C3:C6" si="0">IF(B3=1, 5%,19.5%)</f>
        <v>0.19500000000000001</v>
      </c>
    </row>
    <row r="4" spans="1:3" x14ac:dyDescent="0.25">
      <c r="A4" s="3" t="s">
        <v>105</v>
      </c>
      <c r="B4" s="3">
        <v>1</v>
      </c>
      <c r="C4" s="3">
        <f t="shared" si="0"/>
        <v>0.05</v>
      </c>
    </row>
    <row r="5" spans="1:3" x14ac:dyDescent="0.25">
      <c r="A5" s="3" t="s">
        <v>103</v>
      </c>
      <c r="B5" s="3">
        <v>1</v>
      </c>
      <c r="C5" s="3">
        <f t="shared" si="0"/>
        <v>0.05</v>
      </c>
    </row>
    <row r="6" spans="1:3" x14ac:dyDescent="0.25">
      <c r="A6" s="3" t="s">
        <v>104</v>
      </c>
      <c r="B6" s="3">
        <v>2</v>
      </c>
      <c r="C6" s="3">
        <f t="shared" si="0"/>
        <v>0.19500000000000001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16.140625" customWidth="1"/>
    <col min="3" max="3" width="14.5703125" customWidth="1"/>
  </cols>
  <sheetData>
    <row r="1" spans="1:3" x14ac:dyDescent="0.25">
      <c r="A1" s="4" t="s">
        <v>98</v>
      </c>
      <c r="B1" s="4" t="s">
        <v>99</v>
      </c>
      <c r="C1" s="4" t="s">
        <v>100</v>
      </c>
    </row>
    <row r="2" spans="1:3" x14ac:dyDescent="0.25">
      <c r="A2" s="3" t="s">
        <v>101</v>
      </c>
      <c r="B2" s="3">
        <v>2</v>
      </c>
      <c r="C2" s="3">
        <f>IF(B2=1,5%,IF(B2=2,10%,19.5%))</f>
        <v>0.1</v>
      </c>
    </row>
    <row r="3" spans="1:3" x14ac:dyDescent="0.25">
      <c r="A3" s="3" t="s">
        <v>102</v>
      </c>
      <c r="B3" s="3">
        <v>3</v>
      </c>
      <c r="C3" s="3">
        <f t="shared" ref="C3:C6" si="0">IF(B3=1,5%,IF(B3=2,10%,19.5%))</f>
        <v>0.19500000000000001</v>
      </c>
    </row>
    <row r="4" spans="1:3" x14ac:dyDescent="0.25">
      <c r="A4" s="3" t="s">
        <v>105</v>
      </c>
      <c r="B4" s="3">
        <v>1</v>
      </c>
      <c r="C4" s="3">
        <f t="shared" si="0"/>
        <v>0.05</v>
      </c>
    </row>
    <row r="5" spans="1:3" x14ac:dyDescent="0.25">
      <c r="A5" s="3" t="s">
        <v>103</v>
      </c>
      <c r="B5" s="3">
        <v>1</v>
      </c>
      <c r="C5" s="3">
        <f t="shared" si="0"/>
        <v>0.05</v>
      </c>
    </row>
    <row r="6" spans="1:3" x14ac:dyDescent="0.25">
      <c r="A6" s="3" t="s">
        <v>104</v>
      </c>
      <c r="B6" s="3">
        <v>2</v>
      </c>
      <c r="C6" s="3">
        <f t="shared" si="0"/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TP1</vt:lpstr>
      <vt:lpstr>TP2</vt:lpstr>
      <vt:lpstr>TP3</vt:lpstr>
      <vt:lpstr>TP4</vt:lpstr>
      <vt:lpstr>TP5</vt:lpstr>
      <vt:lpstr>TP6</vt:lpstr>
      <vt:lpstr>TP7</vt:lpstr>
      <vt:lpstr>TP8</vt:lpstr>
      <vt:lpstr>TP9</vt:lpstr>
      <vt:lpstr>TP10</vt:lpstr>
      <vt:lpstr>TP11</vt:lpstr>
      <vt:lpstr>TP12</vt:lpstr>
      <vt:lpstr>TP13</vt:lpstr>
      <vt:lpstr>TP14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2016-02-10T22:22:25Z</dcterms:modified>
</cp:coreProperties>
</file>